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201_{7B5E3858-3EA0-4115-A45B-C5C0D968D45E}" xr6:coauthVersionLast="47" xr6:coauthVersionMax="47" xr10:uidLastSave="{00000000-0000-0000-0000-000000000000}"/>
  <bookViews>
    <workbookView xWindow="-120" yWindow="-120" windowWidth="29040" windowHeight="15840" tabRatio="706" activeTab="1" xr2:uid="{3B5970EE-C1E0-477C-ABE0-26D3F92CE53D}"/>
  </bookViews>
  <sheets>
    <sheet name="Autostrazi-in exec-2024" sheetId="1" r:id="rId1"/>
    <sheet name="Drumuri expres-in exec-2024 " sheetId="3" r:id="rId2"/>
    <sheet name="drumuri judetene" sheetId="2" r:id="rId3"/>
    <sheet name="OPEX CNAIR" sheetId="8" r:id="rId4"/>
    <sheet name="% in CA" sheetId="4" r:id="rId5"/>
    <sheet name="Latimi drumuri" sheetId="5" r:id="rId6"/>
  </sheets>
  <definedNames>
    <definedName name="_xlnm.Print_Area" localSheetId="0">'Autostrazi-in exec-2024'!$A$1:$I$76</definedName>
    <definedName name="_xlnm.Print_Area" localSheetId="1">'Drumuri expres-in exec-2024 '!$A$1:$I$49</definedName>
    <definedName name="_xlnm.Print_Area" localSheetId="2">'drumuri judetene'!$A$1:$I$42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E49" i="3" s="1"/>
  <c r="C48" i="3"/>
  <c r="C49" i="3" s="1"/>
  <c r="B48" i="3"/>
  <c r="B49" i="3" s="1"/>
  <c r="E75" i="1"/>
  <c r="E76" i="1" s="1"/>
  <c r="C75" i="1"/>
  <c r="C76" i="1" s="1"/>
  <c r="B75" i="1"/>
  <c r="B76" i="1" s="1"/>
  <c r="B9" i="8"/>
  <c r="C2" i="8" s="1"/>
  <c r="D20" i="4"/>
  <c r="C10" i="2" s="1"/>
  <c r="C4" i="4"/>
  <c r="C3" i="4"/>
  <c r="C5" i="4" s="1"/>
  <c r="C6" i="4"/>
  <c r="D5" i="4" l="1"/>
  <c r="B14" i="3" s="1"/>
  <c r="B16" i="8"/>
  <c r="B42" i="1"/>
  <c r="C3" i="8"/>
  <c r="C4" i="8" s="1"/>
  <c r="D2" i="8"/>
  <c r="D3" i="8" s="1"/>
  <c r="B61" i="1" s="1"/>
  <c r="B33" i="3" s="1"/>
  <c r="C30" i="2"/>
  <c r="C32" i="2" s="1"/>
  <c r="B34" i="3" l="1"/>
  <c r="B36" i="3" s="1"/>
  <c r="B37" i="3" s="1"/>
  <c r="B38" i="3" s="1"/>
  <c r="D4" i="8"/>
  <c r="B62" i="1"/>
  <c r="B64" i="1" s="1"/>
  <c r="B65" i="1" s="1"/>
  <c r="B66" i="1" s="1"/>
  <c r="C2" i="2"/>
  <c r="D12" i="4" l="1"/>
  <c r="C33" i="2" l="1"/>
  <c r="C34" i="2" s="1"/>
  <c r="B8" i="3"/>
  <c r="B36" i="1"/>
  <c r="C4" i="2"/>
  <c r="C8" i="2" s="1"/>
  <c r="D3" i="3" l="1"/>
  <c r="D4" i="3"/>
  <c r="D5" i="3"/>
  <c r="D2" i="3"/>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2" i="1"/>
  <c r="D21" i="3"/>
  <c r="C6" i="3"/>
  <c r="B12" i="3" s="1"/>
  <c r="B6" i="3"/>
  <c r="E5" i="3"/>
  <c r="F5" i="3" s="1"/>
  <c r="E4" i="3"/>
  <c r="F4" i="3" s="1"/>
  <c r="E3" i="3"/>
  <c r="F3" i="3" s="1"/>
  <c r="E2" i="3"/>
  <c r="F2" i="3" s="1"/>
  <c r="E17" i="2"/>
  <c r="F17" i="2" s="1"/>
  <c r="D49" i="1"/>
  <c r="C33" i="1"/>
  <c r="B40" i="1" s="1"/>
  <c r="B33" i="1"/>
  <c r="E32" i="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E4" i="1"/>
  <c r="F4" i="1" s="1"/>
  <c r="E3" i="1"/>
  <c r="F3" i="1" s="1"/>
  <c r="E2" i="1"/>
  <c r="F2" i="1" s="1"/>
  <c r="B44" i="1" l="1"/>
  <c r="D33" i="1"/>
  <c r="B16" i="3"/>
  <c r="C12" i="2"/>
  <c r="C13" i="2" s="1"/>
  <c r="C14" i="2" s="1"/>
  <c r="C20" i="2" s="1"/>
  <c r="C25" i="2" s="1"/>
  <c r="C39" i="2" s="1"/>
  <c r="D6" i="3"/>
  <c r="E6" i="3"/>
  <c r="E33" i="1"/>
  <c r="B45" i="1" l="1"/>
  <c r="B46" i="1" s="1"/>
  <c r="E52" i="1" s="1"/>
  <c r="E57" i="1" s="1"/>
  <c r="E71" i="1" s="1"/>
  <c r="F6" i="3"/>
  <c r="C40" i="2"/>
  <c r="C41" i="2" s="1"/>
  <c r="F33" i="1"/>
  <c r="B17" i="3"/>
  <c r="B18" i="3" s="1"/>
  <c r="E20" i="2"/>
  <c r="E25" i="2" s="1"/>
  <c r="E39" i="2" s="1"/>
  <c r="D20" i="2"/>
  <c r="D25" i="2" s="1"/>
  <c r="D39" i="2" s="1"/>
  <c r="C26" i="2"/>
  <c r="B52" i="1" l="1"/>
  <c r="B57" i="1" s="1"/>
  <c r="C52" i="1"/>
  <c r="C57" i="1" s="1"/>
  <c r="B24" i="3"/>
  <c r="B29" i="3" s="1"/>
  <c r="E24" i="3"/>
  <c r="E29" i="3" s="1"/>
  <c r="E44" i="3" s="1"/>
  <c r="D40" i="2"/>
  <c r="D41" i="2" s="1"/>
  <c r="E26" i="2"/>
  <c r="E27" i="2" s="1"/>
  <c r="E40" i="2"/>
  <c r="E41" i="2" s="1"/>
  <c r="E58" i="1"/>
  <c r="E59" i="1" s="1"/>
  <c r="E72" i="1"/>
  <c r="E73" i="1" s="1"/>
  <c r="D26" i="2"/>
  <c r="D27" i="2" s="1"/>
  <c r="C24" i="3"/>
  <c r="C29" i="3" s="1"/>
  <c r="C44" i="3" s="1"/>
  <c r="C27" i="2"/>
  <c r="B44" i="3" l="1"/>
  <c r="B45" i="3" s="1"/>
  <c r="B46" i="3" s="1"/>
  <c r="B71" i="1"/>
  <c r="B72" i="1" s="1"/>
  <c r="B73" i="1" s="1"/>
  <c r="C71" i="1"/>
  <c r="C72" i="1" s="1"/>
  <c r="C73" i="1" s="1"/>
  <c r="B58" i="1"/>
  <c r="B59" i="1" s="1"/>
  <c r="C58" i="1"/>
  <c r="C59" i="1" s="1"/>
  <c r="B30" i="3"/>
  <c r="B31" i="3" s="1"/>
  <c r="C30" i="3"/>
  <c r="C31" i="3" s="1"/>
  <c r="C45" i="3"/>
  <c r="C46" i="3" s="1"/>
  <c r="E30" i="3"/>
  <c r="E31" i="3" s="1"/>
  <c r="E45" i="3"/>
  <c r="E46" i="3" s="1"/>
</calcChain>
</file>

<file path=xl/sharedStrings.xml><?xml version="1.0" encoding="utf-8"?>
<sst xmlns="http://schemas.openxmlformats.org/spreadsheetml/2006/main" count="270" uniqueCount="136">
  <si>
    <t>Proiecte Autostrazi in executie -mai 2024 http://www.cnadnr.ro/ro/node/12438</t>
  </si>
  <si>
    <t xml:space="preserve">nr. km </t>
  </si>
  <si>
    <t>valoare proiect (mil lei fara TVA)</t>
  </si>
  <si>
    <t>valoare proiect (mil euro fara TVA)</t>
  </si>
  <si>
    <t>cost/km (mil lei fara TVA)</t>
  </si>
  <si>
    <t>cost/km (mil euro fara TVA) (1eur=4.977)</t>
  </si>
  <si>
    <t>Total</t>
  </si>
  <si>
    <t>rentabilitatea capitalului angajat</t>
  </si>
  <si>
    <t xml:space="preserve">Durata de viata </t>
  </si>
  <si>
    <t>ani</t>
  </si>
  <si>
    <t>CAPEX ANUALIZAT</t>
  </si>
  <si>
    <t>lei/an</t>
  </si>
  <si>
    <t>Pondere acces la infrastructura in total cifra de afaceri</t>
  </si>
  <si>
    <t>Sursa: operatori de comunicatii electronice si rap administrator CNAIR 2023</t>
  </si>
  <si>
    <t>CAPEX ANUALIZAT ATRIBUIBIL CE</t>
  </si>
  <si>
    <t>euro/an</t>
  </si>
  <si>
    <t>euro/luna</t>
  </si>
  <si>
    <t>euro/m/luna</t>
  </si>
  <si>
    <t>Tip drum</t>
  </si>
  <si>
    <t>Latimea partii carosabile</t>
  </si>
  <si>
    <t>Lațimea platformei (carosabil +acostament)</t>
  </si>
  <si>
    <t>Lățimea amprizei (platforma+2 șanțuri preluare ape pluviale-2x1m)</t>
  </si>
  <si>
    <t>Lățime ampriza+2x zona siguranță (in medie 2.75m)</t>
  </si>
  <si>
    <t>Zona de protectie (Distanţa de la marginea exterioară a zonei de siguranţă până la marginea zonei drumului) (m)</t>
  </si>
  <si>
    <t>autostrada</t>
  </si>
  <si>
    <t>sub partea carosabila</t>
  </si>
  <si>
    <t>in ampriza, in afara partii carosabile</t>
  </si>
  <si>
    <t>in zona de siguranta</t>
  </si>
  <si>
    <t>CAPEX ATRIBUIBIL CE (euro/mp/luna)</t>
  </si>
  <si>
    <t>Suprafata afectata</t>
  </si>
  <si>
    <t>CAPEX  (euro/m/luna)</t>
  </si>
  <si>
    <t>CAPEX  (euro/Km/luna)</t>
  </si>
  <si>
    <t>CAPEX  (euro/Km/an)</t>
  </si>
  <si>
    <t>Cheltuieli operationale</t>
  </si>
  <si>
    <t>EURO/km/an</t>
  </si>
  <si>
    <t>fara TVA</t>
  </si>
  <si>
    <t>Cheltuieli operationale atribuibile CE</t>
  </si>
  <si>
    <t>OPEX  (euro/m/luna)</t>
  </si>
  <si>
    <t>OPEX  (euro/Km/luna)</t>
  </si>
  <si>
    <t>OPEX  (euro/Km/an)</t>
  </si>
  <si>
    <t>grad  de ocupare</t>
  </si>
  <si>
    <t>Tarif / cablu subteran</t>
  </si>
  <si>
    <t xml:space="preserve">  (euro/m/luna)</t>
  </si>
  <si>
    <t xml:space="preserve">  (euro/Km/luna)</t>
  </si>
  <si>
    <t xml:space="preserve">  (euro/Km/an)</t>
  </si>
  <si>
    <r>
      <t xml:space="preserve">tarife actuale (euro/ml/luna, </t>
    </r>
    <r>
      <rPr>
        <b/>
        <u val="singleAccounting"/>
        <sz val="11"/>
        <color theme="1"/>
        <rFont val="Aptos Narrow"/>
        <family val="2"/>
        <scheme val="minor"/>
      </rPr>
      <t>fara</t>
    </r>
    <r>
      <rPr>
        <b/>
        <sz val="11"/>
        <color theme="1"/>
        <rFont val="Aptos Narrow"/>
        <family val="2"/>
        <scheme val="minor"/>
      </rPr>
      <t xml:space="preserve"> TVA)</t>
    </r>
  </si>
  <si>
    <t>Proiecte Drumuri expres in executie -mai 2024 hf</t>
  </si>
  <si>
    <t>A3 SI DN1(IN DREPTUL LOCALITATII
TURENI)</t>
  </si>
  <si>
    <t>BRAILA - GALATI-lot 1</t>
  </si>
  <si>
    <t xml:space="preserve">
SANAYI A.S (LIDER) - STRADE
BAUUNTERNEHMUNG S.R.L. - VISIO
CONSTRUCTION WORKS S.R.L.
TRONSON 1: CRAIOVA - ROBANESTI
(KM 0+000 - KM 17+700)</t>
  </si>
  <si>
    <t>TRONSON 4
COLONESTI - OARJA - PITESTI</t>
  </si>
  <si>
    <t>Total/cost mediu</t>
  </si>
  <si>
    <t>CAPEX  ATRIBUIBIL CE</t>
  </si>
  <si>
    <t>drum expres</t>
  </si>
  <si>
    <t>Grad de ocupare</t>
  </si>
  <si>
    <t>Cost standard</t>
  </si>
  <si>
    <t>euro/km</t>
  </si>
  <si>
    <t>IPC constructii 2021-2024</t>
  </si>
  <si>
    <t>Sursa: INSSE</t>
  </si>
  <si>
    <t>http://statistici.insse.ro:8077/tempo-online/#/pages/tables/insse-table</t>
  </si>
  <si>
    <t>euro/km/an</t>
  </si>
  <si>
    <t>CAPEX ANUAL ATRIBUIBIL CE</t>
  </si>
  <si>
    <t>euro/km/luna</t>
  </si>
  <si>
    <t>drum judetean</t>
  </si>
  <si>
    <t>grad de ocupare</t>
  </si>
  <si>
    <t xml:space="preserve">CNAIR </t>
  </si>
  <si>
    <t>Lungime infrastructura (km)-2023</t>
  </si>
  <si>
    <t>Cheltuieli de intretinere(lei cu TVA) -2023</t>
  </si>
  <si>
    <t>Cheltuieli de intretinere (euro cu TVA)-2023</t>
  </si>
  <si>
    <t>Lungimea retelei de infrastr CNAIR (2023) (km)</t>
  </si>
  <si>
    <t>chelt intretinere/km infrastr.</t>
  </si>
  <si>
    <t xml:space="preserve">chelt intretinere/ml infrastr </t>
  </si>
  <si>
    <t>Sursa: rap. Administrator 2023, cap. 2.2.1 (pag 22)</t>
  </si>
  <si>
    <t>Intretinerea curenta pe timp de vara (plombari gropi, tratare burdusiri, decolmatari santuri si podete, intretinerea semnalizarii verticale si orizontale, intretinerea parapetilor)</t>
  </si>
  <si>
    <t>lei cu TVA</t>
  </si>
  <si>
    <t>Intretinerea curenta pe timp de iarna (materiale combatere lunecus, panouri parazapezi, deszapezire manuala si mecanica, informari privind starea drumurilor)</t>
  </si>
  <si>
    <t>intretinere DN (tratamente bituminoase, straturi bituminoase, covoare bituminoase, reciclare in situ)</t>
  </si>
  <si>
    <t>fara legatura de cauzalitate cu accesul subteran al cablurilor de CE</t>
  </si>
  <si>
    <t>reparatii curente (imbracaminte bituminoasa usoara)</t>
  </si>
  <si>
    <t>ranforsari sisteme rutiere</t>
  </si>
  <si>
    <t>lucrari extindere fenomene distructive si costuri reparatii, asigurarea desfasurarii in siguranta a traficului rutier</t>
  </si>
  <si>
    <t>paza, curatenie, intretinere parcari si gr sanitare, montare parapeti</t>
  </si>
  <si>
    <t>intretinere lucrari de arta</t>
  </si>
  <si>
    <t>intretinere cladiri</t>
  </si>
  <si>
    <t>Intretinere si lucrari curente DRDP</t>
  </si>
  <si>
    <t>CNAIR</t>
  </si>
  <si>
    <t>RON</t>
  </si>
  <si>
    <t>Curs mediu EUR/RON 2023</t>
  </si>
  <si>
    <t>DRDP 1-8</t>
  </si>
  <si>
    <t>Orange</t>
  </si>
  <si>
    <t>Cifra de afaceri 2022</t>
  </si>
  <si>
    <t>Sursa: CNAIR, raportul administratorilor 2022</t>
  </si>
  <si>
    <t>pag 15</t>
  </si>
  <si>
    <t>Cifra de afaceri 2023</t>
  </si>
  <si>
    <t>pag 18</t>
  </si>
  <si>
    <t>Rezultat din exploatare</t>
  </si>
  <si>
    <t>pag 19</t>
  </si>
  <si>
    <t>Profit inaintea platii dobanzii si impozitului pe profit</t>
  </si>
  <si>
    <t>(rentabilitatea capitalului angajat)</t>
  </si>
  <si>
    <t>Capital angajat</t>
  </si>
  <si>
    <t>Sursa: CNAIR, raportul administratorilor 2023</t>
  </si>
  <si>
    <t>http://www.cnadnr.ro/sites/default/files/pagini-statice/Raportul%20administratorilor_1.pdf</t>
  </si>
  <si>
    <t>Drumuri si Poduri Dolj</t>
  </si>
  <si>
    <t>lei</t>
  </si>
  <si>
    <t>adresa SPLDP Dolj</t>
  </si>
  <si>
    <t>Venituri din contracte de acces</t>
  </si>
  <si>
    <t>Mfinante.ro</t>
  </si>
  <si>
    <r>
      <rPr>
        <sz val="9"/>
        <color rgb="FF0000FF"/>
        <rFont val="Verdana"/>
        <family val="2"/>
      </rPr>
      <t xml:space="preserve"> Fac parte integrantă din </t>
    </r>
    <r>
      <rPr>
        <b/>
        <sz val="9"/>
        <color rgb="FF0000FF"/>
        <rFont val="Verdana"/>
        <family val="2"/>
      </rPr>
      <t>drum</t>
    </r>
    <r>
      <rPr>
        <sz val="9"/>
        <color rgb="FF0000FF"/>
        <rFont val="Verdana"/>
        <family val="2"/>
      </rPr>
      <t>: ampriza și zonele de siguranță, suprastructura și infrastructura drumului, podurile, podețele, șanțurile, rigolele, viaductele, pasajele denivelate, zonele de sub pasajele rutiere, tunelurile și alte lucrări de artă, construcțiile de apărare, protecție și consolidare, trotuarele, pistele pentru cicliști, locurile de parcare, oprire și staționare, stațiile de taxare, bretelele de acces, drumurile tehnologice amenajate pentru întreținerea autostrăzilor, indicatoarele de semnalizare rutieră și alte dotări pentru siguranța circulației, sistemele inteligente de transport și instalațiile aferente, spațiile de serviciu sau control, spațiile cuprinse în triunghiul de vizibilitate din intersecții, spațiile cuprinse între autostradă și/sau drum și bretelele de acces, sistemele pentru protecția mediului, terenurile și plantațiile din zona drumului și perdelele de protecție</t>
    </r>
    <r>
      <rPr>
        <b/>
        <sz val="9"/>
        <color rgb="FF0000FF"/>
        <rFont val="Verdana"/>
        <family val="2"/>
      </rPr>
      <t>, mai puțin zonele de protecție. (OUG 43/1997, Art.2, alin (3))</t>
    </r>
  </si>
  <si>
    <r>
      <t xml:space="preserve"> </t>
    </r>
    <r>
      <rPr>
        <b/>
        <sz val="11"/>
        <color theme="1"/>
        <rFont val="Aptos Narrow"/>
        <family val="2"/>
        <scheme val="minor"/>
      </rPr>
      <t>Zona drumului public</t>
    </r>
    <r>
      <rPr>
        <sz val="11"/>
        <color theme="1"/>
        <rFont val="Aptos Narrow"/>
        <family val="2"/>
        <scheme val="minor"/>
      </rPr>
      <t xml:space="preserve"> cuprinde: ampriza, zonele de siguranță și zonele de protecție. (OUG 43/1997, Art. 14)</t>
    </r>
  </si>
  <si>
    <t>Categoria drumului</t>
  </si>
  <si>
    <t>Autostrăzi</t>
  </si>
  <si>
    <t>Drumuri naţionale</t>
  </si>
  <si>
    <t>Drumuri judeţene</t>
  </si>
  <si>
    <t>Drumuri comunale</t>
  </si>
  <si>
    <t>Distanţa de la marginea exterioară a zonei de siguranţă până la marginea zonei drumului (m)</t>
  </si>
  <si>
    <r>
      <rPr>
        <sz val="11"/>
        <color rgb="FF000000"/>
        <rFont val="Calibri"/>
        <family val="2"/>
      </rPr>
      <t>(</t>
    </r>
    <r>
      <rPr>
        <b/>
        <sz val="11"/>
        <color rgb="FF000000"/>
        <rFont val="Calibri"/>
        <family val="2"/>
      </rPr>
      <t>zonele de protecție</t>
    </r>
    <r>
      <rPr>
        <sz val="11"/>
        <color rgb="FF000000"/>
        <rFont val="Calibri"/>
        <family val="2"/>
      </rPr>
      <t xml:space="preserve"> sunt cuprinse între marginile exterioare ale zonelor de siguranță și marginile zonei drumului </t>
    </r>
  </si>
  <si>
    <t>conform tabelului următor, cf 4.5 d) OG 43/1997, cu modif ulterioare)</t>
  </si>
  <si>
    <t>Lățimea părții carosabile:
a) 15 m (14 m în condiții dificile de traseu), la autostrăzi;
b) 14 m la drumurile cu 4 benzi de circulație;
c) între 5,50 și 7 m, la drumurile cu două benzi de circulație;
d) 4 m, la drumurile cu o bandă de circulație;
e) 2,75 m, la drumurile vicinale.</t>
  </si>
  <si>
    <r>
      <t xml:space="preserve">
</t>
    </r>
    <r>
      <rPr>
        <b/>
        <sz val="9"/>
        <color rgb="FF0000FF"/>
        <rFont val="Verdana"/>
        <family val="2"/>
      </rPr>
      <t>Ampriza drumului</t>
    </r>
    <r>
      <rPr>
        <sz val="9"/>
        <color rgb="FF0000FF"/>
        <rFont val="Verdana"/>
        <family val="2"/>
      </rPr>
      <t xml:space="preserve"> este suprafața de teren ocupată de elemente constructive ale drumului: parte carosabilă, trotuare, piste pentru cicliști, acostamente, șanțuri, rigole, taluzuri, șanțuri de gardă, ziduri de sprijin și alte lucrări de artă. (OUG 43/1997, Articolul 15)</t>
    </r>
  </si>
  <si>
    <t>https://www.rombadconstruct.ro/zona-protectie-drumuri.html</t>
  </si>
  <si>
    <t xml:space="preserve">4.5. Limitele zonelor drumurilor, conform Ordonanței Guvernului nr. 43/1997 privind regimul drumurilor, </t>
  </si>
  <si>
    <t>republicată, cu modificările și completările ulterioare, sunt următoarele:</t>
  </si>
  <si>
    <r>
      <rPr>
        <sz val="11"/>
        <color rgb="FF000000"/>
        <rFont val="Aptos Narrow"/>
        <family val="2"/>
      </rPr>
      <t>a) </t>
    </r>
    <r>
      <rPr>
        <b/>
        <sz val="11"/>
        <color rgb="FF000000"/>
        <rFont val="Aptos Narrow"/>
        <family val="2"/>
      </rPr>
      <t xml:space="preserve">zonele de siguranță </t>
    </r>
    <r>
      <rPr>
        <sz val="11"/>
        <color rgb="FF000000"/>
        <rFont val="Aptos Narrow"/>
        <family val="2"/>
      </rPr>
      <t>ale drumurilor sunt cuprinse de la limita exterioară a amprizei drumului până la:</t>
    </r>
  </si>
  <si>
    <t>(i) 1,50 m - de la marginea exterioară a dispozitivelor de preluare a apelor meteorice, pentru drumurile situate la nivelul terenului;</t>
  </si>
  <si>
    <t>(ii) 2,00 m - de la piciorul taluzului, pentru drumurile în rambleu;</t>
  </si>
  <si>
    <t>(iii) 3,00 m - de la marginea de sus a taluzului, pentru drumurile în debleu cu înălțimea taluzului de până la 5,00 m inclusiv;</t>
  </si>
  <si>
    <t>(iv) 5,00 m - de la marginea de sus a taluzului, pentru drumurile în debleu cu înălțimea taluzului mai mare de 5,00 m;</t>
  </si>
  <si>
    <t>Legenda</t>
  </si>
  <si>
    <t>valori de intrare</t>
  </si>
  <si>
    <t>valori obtinute prin calcul</t>
  </si>
  <si>
    <t>m</t>
  </si>
  <si>
    <t>tarife actuale (euro/km/an, fara TVA)</t>
  </si>
  <si>
    <t>pag 33</t>
  </si>
  <si>
    <t>adresa CNAIR</t>
  </si>
  <si>
    <t>total venituri din tarife de utilizare zona drumurilor</t>
  </si>
  <si>
    <t xml:space="preserve">Sursa: rap administrator CNAIR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</si>
</sst>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 _R_O_N_-;\-* #,##0\ _R_O_N_-;_-* &quot;-&quot;??\ _R_O_N_-;_-@_-"/>
    <numFmt numFmtId="165" formatCode="_-* #,##0_-;\-* #,##0_-;_-* &quot;-&quot;??_-;_-@_-"/>
    <numFmt numFmtId="166" formatCode="_(* #,##0_);_(* \(#,##0\);_(* &quot;-&quot;??_);_(@_)"/>
    <numFmt numFmtId="167" formatCode="_(* #,##0.0000_);_(* \(#,##0.0000\);_(* &quot;-&quot;??_);_(@_)"/>
    <numFmt numFmtId="168" formatCode="_(* #,##0.0000_);_(* \(#,##0.0000\);_(* &quot;-&quot;????_);_(@_)"/>
  </numFmts>
  <fonts count="24"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2"/>
      <color theme="1"/>
      <name val="Aptos Narrow"/>
      <family val="2"/>
      <scheme val="minor"/>
    </font>
    <font>
      <sz val="11"/>
      <name val="Tahoma"/>
      <family val="2"/>
    </font>
    <font>
      <i/>
      <sz val="11"/>
      <color theme="1"/>
      <name val="Aptos Narrow"/>
      <family val="2"/>
      <scheme val="minor"/>
    </font>
    <font>
      <b/>
      <sz val="11"/>
      <color rgb="FFFF0000"/>
      <name val="Aptos Narrow"/>
      <family val="2"/>
      <scheme val="minor"/>
    </font>
    <font>
      <sz val="11"/>
      <color rgb="FF000000"/>
      <name val="Tahoma"/>
      <family val="2"/>
    </font>
    <font>
      <sz val="11"/>
      <color rgb="FF000000"/>
      <name val="Aptos Narrow"/>
      <family val="2"/>
    </font>
    <font>
      <sz val="11"/>
      <color rgb="FF000000"/>
      <name val="Calibri"/>
      <family val="2"/>
    </font>
    <font>
      <b/>
      <sz val="11"/>
      <color rgb="FF000000"/>
      <name val="Aptos Narrow"/>
      <family val="2"/>
    </font>
    <font>
      <i/>
      <sz val="11"/>
      <color rgb="FF000000"/>
      <name val="Aptos Narrow"/>
      <family val="2"/>
    </font>
    <font>
      <u/>
      <sz val="11"/>
      <color theme="10"/>
      <name val="Aptos Narrow"/>
      <family val="2"/>
      <scheme val="minor"/>
    </font>
    <font>
      <sz val="9"/>
      <color rgb="FF0000FF"/>
      <name val="Verdana"/>
      <family val="2"/>
    </font>
    <font>
      <b/>
      <sz val="9"/>
      <color rgb="FF0000FF"/>
      <name val="Verdana"/>
      <family val="2"/>
    </font>
    <font>
      <b/>
      <sz val="11"/>
      <color rgb="FF000000"/>
      <name val="Calibri"/>
      <family val="2"/>
    </font>
    <font>
      <sz val="11"/>
      <color rgb="FF000000"/>
      <name val="Verdana"/>
      <family val="2"/>
    </font>
    <font>
      <sz val="11"/>
      <color rgb="FFFF0000"/>
      <name val="Aptos Narrow"/>
      <family val="2"/>
      <scheme val="minor"/>
    </font>
    <font>
      <i/>
      <sz val="11"/>
      <color rgb="FF000000"/>
      <name val="Tahoma"/>
      <family val="2"/>
    </font>
    <font>
      <b/>
      <u val="singleAccounting"/>
      <sz val="11"/>
      <color theme="1"/>
      <name val="Aptos Narrow"/>
      <family val="2"/>
      <scheme val="minor"/>
    </font>
    <font>
      <b/>
      <sz val="11"/>
      <name val="Tahoma"/>
      <family val="2"/>
    </font>
    <font>
      <sz val="11"/>
      <name val="Aptos Narrow"/>
      <family val="2"/>
      <scheme val="minor"/>
    </font>
    <font>
      <i/>
      <u/>
      <sz val="11"/>
      <color theme="10"/>
      <name val="Aptos Narrow"/>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2"/>
        <bgColor rgb="FF000000"/>
      </patternFill>
    </fill>
    <fill>
      <patternFill patternType="solid">
        <fgColor theme="2"/>
        <bgColor indexed="64"/>
      </patternFill>
    </fill>
    <fill>
      <patternFill patternType="solid">
        <fgColor rgb="FFEEECE1"/>
        <bgColor rgb="FF000000"/>
      </patternFill>
    </fill>
    <fill>
      <patternFill patternType="solid">
        <fgColor rgb="FF92D05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9" tint="0.7999816888943144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338D"/>
      </left>
      <right/>
      <top style="thin">
        <color rgb="FF00338D"/>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8">
    <xf numFmtId="0" fontId="0" fillId="0" borderId="0" xfId="0"/>
    <xf numFmtId="0" fontId="0" fillId="0" borderId="1" xfId="0" applyBorder="1"/>
    <xf numFmtId="0" fontId="0" fillId="0" borderId="1" xfId="0" applyBorder="1" applyAlignment="1">
      <alignment horizontal="center" vertical="center"/>
    </xf>
    <xf numFmtId="0" fontId="0" fillId="2" borderId="1" xfId="0" applyFill="1" applyBorder="1"/>
    <xf numFmtId="164" fontId="4" fillId="4" borderId="0" xfId="1" applyNumberFormat="1" applyFont="1" applyFill="1" applyBorder="1"/>
    <xf numFmtId="0" fontId="2" fillId="0" borderId="0" xfId="0" applyFont="1"/>
    <xf numFmtId="0" fontId="3" fillId="0" borderId="0" xfId="0" applyFont="1"/>
    <xf numFmtId="164" fontId="3" fillId="0" borderId="0" xfId="1" applyNumberFormat="1" applyFont="1" applyFill="1" applyBorder="1"/>
    <xf numFmtId="43" fontId="2" fillId="0" borderId="0" xfId="1" applyFont="1"/>
    <xf numFmtId="10" fontId="5" fillId="3" borderId="0" xfId="0" applyNumberFormat="1" applyFont="1" applyFill="1" applyAlignment="1">
      <alignment horizontal="center"/>
    </xf>
    <xf numFmtId="0" fontId="6" fillId="0" borderId="0" xfId="0" applyFont="1"/>
    <xf numFmtId="43" fontId="0" fillId="0" borderId="0" xfId="0" applyNumberFormat="1"/>
    <xf numFmtId="43" fontId="0" fillId="4" borderId="0" xfId="1" applyFont="1" applyFill="1"/>
    <xf numFmtId="164" fontId="2" fillId="0" borderId="0" xfId="0" applyNumberFormat="1" applyFont="1"/>
    <xf numFmtId="0" fontId="8" fillId="5" borderId="1" xfId="0" applyFont="1" applyFill="1" applyBorder="1" applyAlignment="1">
      <alignment vertical="top" wrapText="1"/>
    </xf>
    <xf numFmtId="0" fontId="0" fillId="0" borderId="0" xfId="0" applyAlignment="1">
      <alignment horizontal="center" vertical="center"/>
    </xf>
    <xf numFmtId="0" fontId="5" fillId="5" borderId="1" xfId="0" applyFont="1" applyFill="1" applyBorder="1" applyAlignment="1">
      <alignment wrapText="1"/>
    </xf>
    <xf numFmtId="43" fontId="2" fillId="0" borderId="1" xfId="1" applyFont="1" applyBorder="1"/>
    <xf numFmtId="43" fontId="2" fillId="0" borderId="0" xfId="1" applyFont="1" applyBorder="1"/>
    <xf numFmtId="43" fontId="0" fillId="0" borderId="0" xfId="0" applyNumberFormat="1" applyAlignment="1">
      <alignment horizontal="center" vertical="center"/>
    </xf>
    <xf numFmtId="43" fontId="2" fillId="0" borderId="0" xfId="1" applyFont="1" applyFill="1" applyBorder="1"/>
    <xf numFmtId="43" fontId="4" fillId="4" borderId="0" xfId="1" applyFont="1" applyFill="1" applyBorder="1" applyAlignment="1">
      <alignment horizontal="center"/>
    </xf>
    <xf numFmtId="0" fontId="5" fillId="0" borderId="0" xfId="0" applyFont="1" applyAlignment="1">
      <alignment wrapText="1"/>
    </xf>
    <xf numFmtId="10" fontId="5" fillId="0" borderId="0" xfId="0" applyNumberFormat="1" applyFont="1" applyAlignment="1">
      <alignment horizontal="center"/>
    </xf>
    <xf numFmtId="165" fontId="0" fillId="0" borderId="0" xfId="0" applyNumberFormat="1"/>
    <xf numFmtId="0" fontId="0" fillId="0" borderId="1" xfId="0" applyBorder="1" applyAlignment="1">
      <alignment wrapText="1"/>
    </xf>
    <xf numFmtId="0" fontId="0" fillId="0" borderId="0" xfId="0" applyAlignment="1">
      <alignment wrapText="1"/>
    </xf>
    <xf numFmtId="0" fontId="9" fillId="0" borderId="0" xfId="0" applyFont="1"/>
    <xf numFmtId="0" fontId="10" fillId="0" borderId="0" xfId="0" applyFont="1"/>
    <xf numFmtId="10" fontId="9" fillId="0" borderId="0" xfId="0" applyNumberFormat="1" applyFont="1"/>
    <xf numFmtId="0" fontId="12" fillId="0" borderId="0" xfId="0" applyFont="1"/>
    <xf numFmtId="10" fontId="9" fillId="0" borderId="0" xfId="2" applyNumberFormat="1" applyFont="1"/>
    <xf numFmtId="43" fontId="0" fillId="4" borderId="0" xfId="1" applyFont="1" applyFill="1" applyAlignment="1">
      <alignment horizontal="center"/>
    </xf>
    <xf numFmtId="10" fontId="9" fillId="6" borderId="0" xfId="2" applyNumberFormat="1" applyFont="1" applyFill="1"/>
    <xf numFmtId="0" fontId="0" fillId="6" borderId="0" xfId="0" applyFill="1"/>
    <xf numFmtId="166" fontId="9" fillId="4" borderId="0" xfId="1" applyNumberFormat="1" applyFont="1" applyFill="1"/>
    <xf numFmtId="0" fontId="13" fillId="0" borderId="0" xfId="3"/>
    <xf numFmtId="0" fontId="2" fillId="0" borderId="0" xfId="0" applyFont="1" applyAlignment="1">
      <alignment horizontal="center" vertical="center"/>
    </xf>
    <xf numFmtId="43" fontId="2" fillId="0" borderId="0" xfId="1" applyFont="1" applyFill="1"/>
    <xf numFmtId="164" fontId="0" fillId="0" borderId="0" xfId="0" applyNumberFormat="1"/>
    <xf numFmtId="10" fontId="0" fillId="0" borderId="0" xfId="2" applyNumberFormat="1" applyFont="1"/>
    <xf numFmtId="10" fontId="1" fillId="0" borderId="0" xfId="1" applyNumberFormat="1" applyFont="1" applyFill="1" applyBorder="1"/>
    <xf numFmtId="43" fontId="0" fillId="0" borderId="0" xfId="1" applyFont="1"/>
    <xf numFmtId="167" fontId="0" fillId="0" borderId="0" xfId="0" applyNumberFormat="1"/>
    <xf numFmtId="166" fontId="6" fillId="0" borderId="0" xfId="1" applyNumberFormat="1" applyFont="1" applyAlignment="1">
      <alignment horizontal="center"/>
    </xf>
    <xf numFmtId="164" fontId="6" fillId="0" borderId="0" xfId="0" applyNumberFormat="1" applyFont="1" applyAlignment="1">
      <alignment horizontal="center"/>
    </xf>
    <xf numFmtId="0" fontId="14" fillId="0" borderId="0" xfId="0" applyFont="1"/>
    <xf numFmtId="0" fontId="0" fillId="0" borderId="6" xfId="0" applyBorder="1"/>
    <xf numFmtId="0" fontId="17" fillId="0" borderId="0" xfId="0" applyFont="1" applyAlignment="1">
      <alignment wrapText="1"/>
    </xf>
    <xf numFmtId="0" fontId="14" fillId="0" borderId="0" xfId="0" applyFont="1" applyAlignment="1">
      <alignment wrapText="1"/>
    </xf>
    <xf numFmtId="166" fontId="0" fillId="0" borderId="0" xfId="1" applyNumberFormat="1" applyFont="1"/>
    <xf numFmtId="43" fontId="11" fillId="0" borderId="0" xfId="0" applyNumberFormat="1" applyFont="1"/>
    <xf numFmtId="0" fontId="18" fillId="4" borderId="0" xfId="0" applyFont="1" applyFill="1"/>
    <xf numFmtId="0" fontId="7" fillId="4" borderId="0" xfId="0" applyFont="1" applyFill="1"/>
    <xf numFmtId="10" fontId="0" fillId="6" borderId="0" xfId="2" applyNumberFormat="1" applyFont="1" applyFill="1"/>
    <xf numFmtId="0" fontId="0" fillId="0" borderId="0" xfId="0" applyAlignment="1">
      <alignment horizontal="center"/>
    </xf>
    <xf numFmtId="0" fontId="16" fillId="7" borderId="1" xfId="0" applyFont="1" applyFill="1" applyBorder="1"/>
    <xf numFmtId="0" fontId="16" fillId="7" borderId="1" xfId="0" applyFont="1" applyFill="1" applyBorder="1" applyAlignment="1">
      <alignment vertical="top" wrapText="1"/>
    </xf>
    <xf numFmtId="0" fontId="8" fillId="7" borderId="1" xfId="0" applyFont="1" applyFill="1" applyBorder="1" applyAlignment="1">
      <alignment wrapText="1"/>
    </xf>
    <xf numFmtId="4" fontId="8" fillId="7" borderId="1" xfId="0" applyNumberFormat="1" applyFont="1" applyFill="1" applyBorder="1"/>
    <xf numFmtId="0" fontId="8" fillId="7" borderId="1" xfId="0" applyFont="1" applyFill="1" applyBorder="1"/>
    <xf numFmtId="0" fontId="10" fillId="7" borderId="1" xfId="0" applyFont="1" applyFill="1" applyBorder="1"/>
    <xf numFmtId="43" fontId="8" fillId="7" borderId="1" xfId="1" applyFont="1" applyFill="1" applyBorder="1"/>
    <xf numFmtId="0" fontId="19" fillId="7" borderId="0" xfId="0" applyFont="1" applyFill="1" applyAlignment="1">
      <alignment wrapText="1"/>
    </xf>
    <xf numFmtId="0" fontId="8" fillId="0" borderId="1" xfId="0" applyFont="1" applyBorder="1" applyAlignment="1">
      <alignment wrapText="1"/>
    </xf>
    <xf numFmtId="3" fontId="8" fillId="3" borderId="1" xfId="0" applyNumberFormat="1" applyFont="1" applyFill="1" applyBorder="1"/>
    <xf numFmtId="166" fontId="0" fillId="4" borderId="1" xfId="1" applyNumberFormat="1" applyFont="1" applyFill="1" applyBorder="1"/>
    <xf numFmtId="166" fontId="0" fillId="0" borderId="0" xfId="0" applyNumberFormat="1" applyAlignment="1">
      <alignment horizontal="center" vertical="center"/>
    </xf>
    <xf numFmtId="43" fontId="0" fillId="0" borderId="0" xfId="1" applyFont="1" applyFill="1" applyBorder="1" applyAlignment="1">
      <alignment horizontal="center" vertical="center"/>
    </xf>
    <xf numFmtId="43" fontId="0" fillId="0" borderId="0" xfId="1" applyFont="1" applyFill="1"/>
    <xf numFmtId="165" fontId="0" fillId="4" borderId="0" xfId="0" applyNumberFormat="1" applyFill="1"/>
    <xf numFmtId="0" fontId="11" fillId="0" borderId="0" xfId="0" applyFont="1"/>
    <xf numFmtId="164" fontId="0" fillId="8" borderId="0" xfId="0" applyNumberFormat="1" applyFill="1"/>
    <xf numFmtId="10" fontId="5" fillId="9" borderId="0" xfId="0" applyNumberFormat="1" applyFont="1" applyFill="1" applyAlignment="1">
      <alignment horizontal="center"/>
    </xf>
    <xf numFmtId="164" fontId="0" fillId="8" borderId="0" xfId="0" applyNumberFormat="1" applyFill="1" applyAlignment="1">
      <alignment horizontal="center"/>
    </xf>
    <xf numFmtId="43" fontId="0" fillId="8" borderId="0" xfId="1" applyFont="1" applyFill="1" applyAlignment="1">
      <alignment horizontal="center"/>
    </xf>
    <xf numFmtId="0" fontId="0" fillId="4" borderId="0" xfId="0" applyFill="1"/>
    <xf numFmtId="0" fontId="0" fillId="8" borderId="0" xfId="0" applyFill="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4" borderId="1" xfId="0" applyFill="1" applyBorder="1" applyAlignment="1">
      <alignment horizontal="center" vertical="center"/>
    </xf>
    <xf numFmtId="43" fontId="1" fillId="4" borderId="1" xfId="1" applyFont="1" applyFill="1" applyBorder="1" applyAlignment="1">
      <alignment horizontal="center" vertical="center"/>
    </xf>
    <xf numFmtId="43" fontId="1" fillId="4" borderId="1" xfId="1" applyFont="1" applyFill="1" applyBorder="1"/>
    <xf numFmtId="43" fontId="2" fillId="0" borderId="1" xfId="1" applyFont="1" applyFill="1" applyBorder="1" applyAlignment="1">
      <alignment vertical="center" wrapText="1"/>
    </xf>
    <xf numFmtId="43" fontId="0" fillId="0" borderId="1" xfId="1" applyFont="1" applyBorder="1"/>
    <xf numFmtId="43" fontId="0" fillId="4" borderId="1" xfId="1" applyFont="1" applyFill="1" applyBorder="1"/>
    <xf numFmtId="43" fontId="0" fillId="0" borderId="0" xfId="1" applyFont="1" applyFill="1" applyBorder="1"/>
    <xf numFmtId="43" fontId="6" fillId="0" borderId="0" xfId="1" applyFont="1" applyAlignment="1">
      <alignment horizontal="center"/>
    </xf>
    <xf numFmtId="43" fontId="6" fillId="0" borderId="0" xfId="1" applyFont="1"/>
    <xf numFmtId="43" fontId="0" fillId="0" borderId="0" xfId="1" applyFont="1" applyAlignment="1">
      <alignment horizontal="center" vertical="center"/>
    </xf>
    <xf numFmtId="10" fontId="0" fillId="8" borderId="0" xfId="0" applyNumberFormat="1" applyFill="1" applyAlignment="1">
      <alignment horizontal="center" vertical="center"/>
    </xf>
    <xf numFmtId="0" fontId="8" fillId="0" borderId="0" xfId="0" applyFont="1"/>
    <xf numFmtId="0" fontId="8" fillId="0" borderId="1" xfId="0" applyFont="1" applyBorder="1" applyAlignment="1">
      <alignment vertical="top" wrapText="1"/>
    </xf>
    <xf numFmtId="43" fontId="8" fillId="0" borderId="1" xfId="1" applyFont="1" applyFill="1" applyBorder="1" applyAlignment="1">
      <alignment vertical="top" wrapText="1"/>
    </xf>
    <xf numFmtId="0" fontId="8" fillId="0" borderId="2" xfId="0" applyFont="1" applyBorder="1"/>
    <xf numFmtId="0" fontId="8" fillId="4" borderId="1" xfId="0" applyFont="1" applyFill="1" applyBorder="1" applyAlignment="1">
      <alignment horizontal="center"/>
    </xf>
    <xf numFmtId="43" fontId="8" fillId="4" borderId="3" xfId="1" applyFont="1" applyFill="1" applyBorder="1" applyAlignment="1">
      <alignment horizontal="center"/>
    </xf>
    <xf numFmtId="0" fontId="5" fillId="0" borderId="1" xfId="0" applyFont="1" applyBorder="1" applyAlignment="1">
      <alignment wrapText="1"/>
    </xf>
    <xf numFmtId="43" fontId="2" fillId="0" borderId="1" xfId="1" applyFont="1" applyFill="1" applyBorder="1"/>
    <xf numFmtId="43" fontId="0" fillId="8" borderId="1" xfId="0" applyNumberFormat="1" applyFill="1" applyBorder="1" applyAlignment="1">
      <alignment horizontal="center" vertical="center"/>
    </xf>
    <xf numFmtId="43" fontId="0" fillId="8" borderId="1" xfId="1" applyFont="1" applyFill="1" applyBorder="1"/>
    <xf numFmtId="0" fontId="8" fillId="4" borderId="0" xfId="0" applyFont="1" applyFill="1"/>
    <xf numFmtId="0" fontId="5" fillId="3" borderId="4" xfId="0" applyFont="1" applyFill="1" applyBorder="1" applyAlignment="1">
      <alignment wrapText="1"/>
    </xf>
    <xf numFmtId="0" fontId="8" fillId="3" borderId="5" xfId="0" applyFont="1" applyFill="1" applyBorder="1" applyAlignment="1">
      <alignment vertical="top" wrapText="1"/>
    </xf>
    <xf numFmtId="43" fontId="8" fillId="3" borderId="5" xfId="1" applyFont="1" applyFill="1" applyBorder="1" applyAlignment="1">
      <alignment vertical="top" wrapText="1"/>
    </xf>
    <xf numFmtId="43" fontId="0" fillId="8" borderId="1" xfId="1" applyFont="1" applyFill="1" applyBorder="1" applyAlignment="1">
      <alignment horizontal="center" vertical="center"/>
    </xf>
    <xf numFmtId="166" fontId="0" fillId="8" borderId="0" xfId="0" applyNumberFormat="1" applyFill="1" applyAlignment="1">
      <alignment horizontal="center" vertical="center"/>
    </xf>
    <xf numFmtId="166" fontId="0" fillId="8" borderId="1" xfId="0" applyNumberFormat="1" applyFill="1" applyBorder="1" applyAlignment="1">
      <alignment horizontal="center" vertical="center"/>
    </xf>
    <xf numFmtId="0" fontId="8" fillId="0" borderId="1" xfId="0" applyFont="1" applyBorder="1" applyAlignment="1">
      <alignment horizontal="center" vertical="top" wrapText="1"/>
    </xf>
    <xf numFmtId="43" fontId="8" fillId="0" borderId="1" xfId="1" applyFont="1" applyFill="1" applyBorder="1" applyAlignment="1">
      <alignment horizontal="center" vertical="top" wrapText="1"/>
    </xf>
    <xf numFmtId="0" fontId="21" fillId="0" borderId="1" xfId="0" applyFont="1" applyBorder="1" applyAlignment="1">
      <alignment wrapText="1"/>
    </xf>
    <xf numFmtId="43" fontId="0" fillId="4" borderId="0" xfId="1" applyFont="1" applyFill="1" applyAlignment="1">
      <alignment horizontal="center" vertical="center"/>
    </xf>
    <xf numFmtId="0" fontId="2" fillId="0" borderId="0" xfId="0" applyFont="1" applyAlignment="1">
      <alignment vertical="center" wrapText="1"/>
    </xf>
    <xf numFmtId="3" fontId="0" fillId="4" borderId="1" xfId="0" applyNumberFormat="1" applyFill="1" applyBorder="1" applyAlignment="1">
      <alignment horizontal="center" vertical="center"/>
    </xf>
    <xf numFmtId="43" fontId="0" fillId="4" borderId="1" xfId="1" applyFont="1" applyFill="1" applyBorder="1" applyAlignment="1">
      <alignment horizontal="center" vertical="center"/>
    </xf>
    <xf numFmtId="43" fontId="2" fillId="4" borderId="1" xfId="1" applyFont="1" applyFill="1" applyBorder="1" applyAlignment="1">
      <alignment horizontal="center" vertical="center"/>
    </xf>
    <xf numFmtId="43" fontId="2" fillId="4" borderId="1" xfId="1" applyFont="1" applyFill="1" applyBorder="1"/>
    <xf numFmtId="43" fontId="2" fillId="0" borderId="0" xfId="1" applyFont="1" applyFill="1" applyAlignment="1">
      <alignment horizontal="center" vertical="center"/>
    </xf>
    <xf numFmtId="43" fontId="0" fillId="8" borderId="0" xfId="1" applyFont="1" applyFill="1"/>
    <xf numFmtId="43" fontId="2" fillId="8" borderId="1" xfId="1" applyFont="1" applyFill="1" applyBorder="1" applyAlignment="1">
      <alignment horizontal="center" vertical="center"/>
    </xf>
    <xf numFmtId="43" fontId="2" fillId="8" borderId="1" xfId="0" applyNumberFormat="1" applyFont="1" applyFill="1" applyBorder="1" applyAlignment="1">
      <alignment horizontal="center" vertical="center"/>
    </xf>
    <xf numFmtId="0" fontId="8" fillId="0" borderId="1" xfId="0" applyFont="1" applyBorder="1"/>
    <xf numFmtId="0" fontId="8" fillId="3" borderId="1" xfId="0" applyFont="1" applyFill="1" applyBorder="1" applyAlignment="1">
      <alignment horizontal="center"/>
    </xf>
    <xf numFmtId="0" fontId="8" fillId="3" borderId="3" xfId="0" applyFont="1" applyFill="1" applyBorder="1" applyAlignment="1">
      <alignment horizontal="center"/>
    </xf>
    <xf numFmtId="43" fontId="0" fillId="8" borderId="1" xfId="0" applyNumberFormat="1" applyFill="1" applyBorder="1"/>
    <xf numFmtId="0" fontId="8" fillId="3" borderId="0" xfId="0" applyFont="1" applyFill="1"/>
    <xf numFmtId="0" fontId="5" fillId="0" borderId="4" xfId="0" applyFont="1" applyBorder="1" applyAlignment="1">
      <alignment wrapText="1"/>
    </xf>
    <xf numFmtId="0" fontId="8" fillId="0" borderId="5" xfId="0" applyFont="1" applyBorder="1" applyAlignment="1">
      <alignment vertical="top" wrapText="1"/>
    </xf>
    <xf numFmtId="43" fontId="0" fillId="8" borderId="0" xfId="0" applyNumberFormat="1" applyFill="1" applyAlignment="1">
      <alignment horizontal="center" vertical="center"/>
    </xf>
    <xf numFmtId="0" fontId="23" fillId="0" borderId="0" xfId="3" applyFont="1"/>
    <xf numFmtId="0" fontId="0" fillId="4" borderId="0" xfId="0" applyFill="1" applyAlignment="1">
      <alignment horizontal="left"/>
    </xf>
    <xf numFmtId="10" fontId="0" fillId="8" borderId="0" xfId="2" applyNumberFormat="1" applyFont="1" applyFill="1"/>
    <xf numFmtId="10" fontId="0" fillId="8" borderId="0" xfId="2" applyNumberFormat="1" applyFont="1" applyFill="1" applyAlignment="1">
      <alignment vertical="center"/>
    </xf>
    <xf numFmtId="164" fontId="0" fillId="8" borderId="0" xfId="0" applyNumberFormat="1" applyFill="1" applyAlignment="1">
      <alignment vertical="center"/>
    </xf>
    <xf numFmtId="43" fontId="0" fillId="8" borderId="0" xfId="1" applyFont="1" applyFill="1" applyAlignment="1">
      <alignment vertical="center"/>
    </xf>
    <xf numFmtId="0" fontId="8" fillId="4" borderId="3" xfId="0" applyFont="1" applyFill="1" applyBorder="1" applyAlignment="1">
      <alignment horizontal="center"/>
    </xf>
    <xf numFmtId="4" fontId="0" fillId="8" borderId="0" xfId="0" applyNumberFormat="1" applyFill="1"/>
    <xf numFmtId="4" fontId="18" fillId="8" borderId="0" xfId="0" applyNumberFormat="1" applyFont="1" applyFill="1"/>
    <xf numFmtId="168" fontId="2" fillId="8" borderId="1" xfId="1" applyNumberFormat="1" applyFont="1" applyFill="1" applyBorder="1" applyAlignment="1">
      <alignment horizontal="center" vertical="center"/>
    </xf>
    <xf numFmtId="166" fontId="0" fillId="4" borderId="0" xfId="1" applyNumberFormat="1" applyFont="1" applyFill="1"/>
    <xf numFmtId="166" fontId="0" fillId="4" borderId="7" xfId="1" applyNumberFormat="1" applyFont="1" applyFill="1" applyBorder="1"/>
    <xf numFmtId="0" fontId="2" fillId="0" borderId="0" xfId="0" applyFont="1" applyAlignment="1">
      <alignment horizontal="center" wrapText="1"/>
    </xf>
    <xf numFmtId="43" fontId="6" fillId="0" borderId="0" xfId="1" applyFont="1" applyAlignment="1">
      <alignment horizontal="center"/>
    </xf>
    <xf numFmtId="0" fontId="6" fillId="0" borderId="0" xfId="0" applyFont="1" applyAlignment="1">
      <alignment horizontal="center"/>
    </xf>
    <xf numFmtId="43" fontId="22" fillId="4" borderId="0" xfId="1" applyFont="1" applyFill="1" applyAlignment="1">
      <alignment horizontal="center" wrapText="1"/>
    </xf>
    <xf numFmtId="0" fontId="22" fillId="0" borderId="0" xfId="0" applyFont="1" applyAlignment="1">
      <alignment horizontal="center" wrapText="1"/>
    </xf>
    <xf numFmtId="43" fontId="22" fillId="0" borderId="0" xfId="1" applyFont="1" applyFill="1" applyAlignment="1">
      <alignment horizontal="center" wrapText="1"/>
    </xf>
    <xf numFmtId="0" fontId="14" fillId="0" borderId="0" xfId="0" applyFont="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5</xdr:row>
      <xdr:rowOff>161925</xdr:rowOff>
    </xdr:from>
    <xdr:to>
      <xdr:col>11</xdr:col>
      <xdr:colOff>432435</xdr:colOff>
      <xdr:row>23</xdr:row>
      <xdr:rowOff>102870</xdr:rowOff>
    </xdr:to>
    <xdr:pic>
      <xdr:nvPicPr>
        <xdr:cNvPr id="2" name="Picture 1">
          <a:extLst>
            <a:ext uri="{FF2B5EF4-FFF2-40B4-BE49-F238E27FC236}">
              <a16:creationId xmlns:a16="http://schemas.microsoft.com/office/drawing/2014/main" id="{E5E2C55C-3C0A-4E4E-B2AF-2718A8E377AC}"/>
            </a:ext>
          </a:extLst>
        </xdr:cNvPr>
        <xdr:cNvPicPr>
          <a:picLocks noChangeAspect="1"/>
        </xdr:cNvPicPr>
      </xdr:nvPicPr>
      <xdr:blipFill>
        <a:blip xmlns:r="http://schemas.openxmlformats.org/officeDocument/2006/relationships" r:embed="rId1"/>
        <a:stretch>
          <a:fillRect/>
        </a:stretch>
      </xdr:blipFill>
      <xdr:spPr>
        <a:xfrm>
          <a:off x="6800850" y="1819275"/>
          <a:ext cx="7519035" cy="47796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tistici.insse.ro:8077/tempo-onlin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nadnr.ro/sites/default/files/pagini-statice/Raportul%20administratorilor_1.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legislatie.just.ro/Public/DetaliiDocumentAfis/268562" TargetMode="External"/><Relationship Id="rId1" Type="http://schemas.openxmlformats.org/officeDocument/2006/relationships/hyperlink" Target="https://www.rombadconstruct.ro/zona-protectie-drumuri.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FAB0-75CC-48AC-B211-44171A3D951B}">
  <sheetPr>
    <pageSetUpPr fitToPage="1"/>
  </sheetPr>
  <dimension ref="A1:K76"/>
  <sheetViews>
    <sheetView workbookViewId="0">
      <selection activeCell="H66" sqref="H66"/>
    </sheetView>
  </sheetViews>
  <sheetFormatPr defaultColWidth="20.7109375" defaultRowHeight="15" outlineLevelRow="1" x14ac:dyDescent="0.25"/>
  <cols>
    <col min="1" max="1" width="37" bestFit="1" customWidth="1"/>
    <col min="2" max="2" width="22.140625" style="15" customWidth="1"/>
    <col min="3" max="3" width="16.5703125" style="42" customWidth="1"/>
    <col min="4" max="4" width="13.42578125" style="42" customWidth="1"/>
    <col min="5" max="5" width="15.5703125" style="42" customWidth="1"/>
    <col min="6" max="6" width="12.85546875" style="42" customWidth="1"/>
    <col min="7" max="7" width="6.140625" customWidth="1"/>
    <col min="8" max="8" width="24" bestFit="1" customWidth="1"/>
    <col min="9" max="9" width="6" bestFit="1" customWidth="1"/>
  </cols>
  <sheetData>
    <row r="1" spans="1:8" ht="60" x14ac:dyDescent="0.25">
      <c r="A1" s="78" t="s">
        <v>0</v>
      </c>
      <c r="B1" s="79" t="s">
        <v>1</v>
      </c>
      <c r="C1" s="83" t="s">
        <v>2</v>
      </c>
      <c r="D1" s="83" t="s">
        <v>3</v>
      </c>
      <c r="E1" s="83" t="s">
        <v>4</v>
      </c>
      <c r="F1" s="83" t="s">
        <v>5</v>
      </c>
      <c r="H1" s="112" t="s">
        <v>127</v>
      </c>
    </row>
    <row r="2" spans="1:8" outlineLevel="1" x14ac:dyDescent="0.25">
      <c r="A2" s="1">
        <v>1</v>
      </c>
      <c r="B2" s="2">
        <v>26.35</v>
      </c>
      <c r="C2" s="84">
        <v>884.12</v>
      </c>
      <c r="D2" s="84">
        <f>C2/4.977</f>
        <v>177.6411492867189</v>
      </c>
      <c r="E2" s="84">
        <f>C2/B2</f>
        <v>33.55294117647059</v>
      </c>
      <c r="F2" s="84">
        <f>E2/4.977</f>
        <v>6.7415995934238673</v>
      </c>
      <c r="H2" s="76" t="s">
        <v>128</v>
      </c>
    </row>
    <row r="3" spans="1:8" outlineLevel="1" x14ac:dyDescent="0.25">
      <c r="A3" s="1">
        <v>2</v>
      </c>
      <c r="B3" s="2">
        <v>24.59</v>
      </c>
      <c r="C3" s="84">
        <v>1495.9069999999999</v>
      </c>
      <c r="D3" s="84">
        <f t="shared" ref="D3:D32" si="0">C3/4.977</f>
        <v>300.56399437412091</v>
      </c>
      <c r="E3" s="84">
        <f t="shared" ref="E3:E32" si="1">C3/B3</f>
        <v>60.833956893045951</v>
      </c>
      <c r="F3" s="84">
        <f t="shared" ref="F3:F32" si="2">E3/4.977</f>
        <v>12.223017257995972</v>
      </c>
      <c r="H3" s="77" t="s">
        <v>129</v>
      </c>
    </row>
    <row r="4" spans="1:8" outlineLevel="1" x14ac:dyDescent="0.25">
      <c r="A4" s="1">
        <v>3</v>
      </c>
      <c r="B4" s="2">
        <v>12.24</v>
      </c>
      <c r="C4" s="84">
        <v>836.88900000000001</v>
      </c>
      <c r="D4" s="84">
        <f t="shared" si="0"/>
        <v>168.15129596142253</v>
      </c>
      <c r="E4" s="84">
        <f t="shared" si="1"/>
        <v>68.373284313725492</v>
      </c>
      <c r="F4" s="84">
        <f t="shared" si="2"/>
        <v>13.737850977240404</v>
      </c>
    </row>
    <row r="5" spans="1:8" outlineLevel="1" x14ac:dyDescent="0.25">
      <c r="A5" s="1">
        <v>4</v>
      </c>
      <c r="B5" s="2">
        <v>4.47</v>
      </c>
      <c r="C5" s="84">
        <v>312.63</v>
      </c>
      <c r="D5" s="84">
        <f t="shared" si="0"/>
        <v>62.814948764315851</v>
      </c>
      <c r="E5" s="84">
        <f t="shared" si="1"/>
        <v>69.939597315436245</v>
      </c>
      <c r="F5" s="84">
        <f t="shared" si="2"/>
        <v>14.05256124481339</v>
      </c>
    </row>
    <row r="6" spans="1:8" outlineLevel="1" x14ac:dyDescent="0.25">
      <c r="A6" s="1">
        <v>5</v>
      </c>
      <c r="B6" s="2">
        <v>17.5</v>
      </c>
      <c r="C6" s="84">
        <v>815.07</v>
      </c>
      <c r="D6" s="84">
        <f t="shared" si="0"/>
        <v>163.76732971669679</v>
      </c>
      <c r="E6" s="84">
        <f t="shared" si="1"/>
        <v>46.575428571428574</v>
      </c>
      <c r="F6" s="84">
        <f t="shared" si="2"/>
        <v>9.3581331266683883</v>
      </c>
    </row>
    <row r="7" spans="1:8" outlineLevel="1" x14ac:dyDescent="0.25">
      <c r="A7" s="1">
        <v>6</v>
      </c>
      <c r="B7" s="2">
        <v>8.5</v>
      </c>
      <c r="C7" s="84">
        <v>397.99</v>
      </c>
      <c r="D7" s="84">
        <f t="shared" si="0"/>
        <v>79.965842877235275</v>
      </c>
      <c r="E7" s="84">
        <f t="shared" si="1"/>
        <v>46.822352941176469</v>
      </c>
      <c r="F7" s="84">
        <f t="shared" si="2"/>
        <v>9.4077462208512088</v>
      </c>
    </row>
    <row r="8" spans="1:8" outlineLevel="1" x14ac:dyDescent="0.25">
      <c r="A8" s="1">
        <v>7</v>
      </c>
      <c r="B8" s="2">
        <v>16.93</v>
      </c>
      <c r="C8" s="84">
        <v>830.68</v>
      </c>
      <c r="D8" s="84">
        <f t="shared" si="0"/>
        <v>166.90375728350409</v>
      </c>
      <c r="E8" s="84">
        <f t="shared" si="1"/>
        <v>49.065564087418778</v>
      </c>
      <c r="F8" s="84">
        <f t="shared" si="2"/>
        <v>9.8584617414946312</v>
      </c>
    </row>
    <row r="9" spans="1:8" outlineLevel="1" x14ac:dyDescent="0.25">
      <c r="A9" s="1">
        <v>8</v>
      </c>
      <c r="B9" s="2">
        <v>17.965</v>
      </c>
      <c r="C9" s="84">
        <v>853.42200000000003</v>
      </c>
      <c r="D9" s="84">
        <f t="shared" si="0"/>
        <v>171.47317661241712</v>
      </c>
      <c r="E9" s="84">
        <f t="shared" si="1"/>
        <v>47.504703590314499</v>
      </c>
      <c r="F9" s="84">
        <f t="shared" si="2"/>
        <v>9.5448470143288109</v>
      </c>
    </row>
    <row r="10" spans="1:8" outlineLevel="1" x14ac:dyDescent="0.25">
      <c r="A10" s="1">
        <v>9</v>
      </c>
      <c r="B10" s="2">
        <v>14.253</v>
      </c>
      <c r="C10" s="84">
        <v>2100</v>
      </c>
      <c r="D10" s="84">
        <f t="shared" si="0"/>
        <v>421.94092827004215</v>
      </c>
      <c r="E10" s="84">
        <f t="shared" si="1"/>
        <v>147.33740265207325</v>
      </c>
      <c r="F10" s="84">
        <f t="shared" si="2"/>
        <v>29.60365735424417</v>
      </c>
    </row>
    <row r="11" spans="1:8" outlineLevel="1" x14ac:dyDescent="0.25">
      <c r="A11" s="1">
        <v>10</v>
      </c>
      <c r="B11" s="2">
        <v>19.922000000000001</v>
      </c>
      <c r="C11" s="84">
        <v>1549</v>
      </c>
      <c r="D11" s="84">
        <f t="shared" si="0"/>
        <v>311.23166566204537</v>
      </c>
      <c r="E11" s="84">
        <f t="shared" si="1"/>
        <v>77.753237626744294</v>
      </c>
      <c r="F11" s="84">
        <f t="shared" si="2"/>
        <v>15.622511076299837</v>
      </c>
    </row>
    <row r="12" spans="1:8" outlineLevel="1" x14ac:dyDescent="0.25">
      <c r="A12" s="1">
        <v>11</v>
      </c>
      <c r="B12" s="2">
        <v>17.61</v>
      </c>
      <c r="C12" s="84">
        <v>1773</v>
      </c>
      <c r="D12" s="84">
        <f t="shared" si="0"/>
        <v>356.23869801084987</v>
      </c>
      <c r="E12" s="84">
        <f t="shared" si="1"/>
        <v>100.68143100511074</v>
      </c>
      <c r="F12" s="84">
        <f t="shared" si="2"/>
        <v>20.229341170406013</v>
      </c>
    </row>
    <row r="13" spans="1:8" outlineLevel="1" x14ac:dyDescent="0.25">
      <c r="A13" s="1">
        <v>12</v>
      </c>
      <c r="B13" s="2">
        <v>16.265000000000001</v>
      </c>
      <c r="C13" s="84">
        <v>1198.106</v>
      </c>
      <c r="D13" s="84">
        <f t="shared" si="0"/>
        <v>240.72855133614627</v>
      </c>
      <c r="E13" s="84">
        <f t="shared" si="1"/>
        <v>73.661604672609897</v>
      </c>
      <c r="F13" s="84">
        <f t="shared" si="2"/>
        <v>14.80040278734376</v>
      </c>
    </row>
    <row r="14" spans="1:8" outlineLevel="1" x14ac:dyDescent="0.25">
      <c r="A14" s="1">
        <v>13</v>
      </c>
      <c r="B14" s="2">
        <v>37.4</v>
      </c>
      <c r="C14" s="84">
        <v>5324</v>
      </c>
      <c r="D14" s="84">
        <f t="shared" si="0"/>
        <v>1069.7207152903354</v>
      </c>
      <c r="E14" s="84">
        <f t="shared" si="1"/>
        <v>142.35294117647058</v>
      </c>
      <c r="F14" s="84">
        <f t="shared" si="2"/>
        <v>28.602158162843192</v>
      </c>
    </row>
    <row r="15" spans="1:8" outlineLevel="1" x14ac:dyDescent="0.25">
      <c r="A15" s="1">
        <v>14</v>
      </c>
      <c r="B15" s="2">
        <v>31.33</v>
      </c>
      <c r="C15" s="84">
        <v>4250.01</v>
      </c>
      <c r="D15" s="84">
        <f t="shared" si="0"/>
        <v>853.93007836045808</v>
      </c>
      <c r="E15" s="84">
        <f t="shared" si="1"/>
        <v>135.65304819661668</v>
      </c>
      <c r="F15" s="84">
        <f t="shared" si="2"/>
        <v>27.255987180352957</v>
      </c>
    </row>
    <row r="16" spans="1:8" outlineLevel="1" x14ac:dyDescent="0.25">
      <c r="A16" s="1">
        <v>15</v>
      </c>
      <c r="B16" s="2">
        <v>30.35</v>
      </c>
      <c r="C16" s="84">
        <v>1710</v>
      </c>
      <c r="D16" s="84">
        <f t="shared" si="0"/>
        <v>343.58047016274861</v>
      </c>
      <c r="E16" s="84">
        <f t="shared" si="1"/>
        <v>56.342668863261942</v>
      </c>
      <c r="F16" s="84">
        <f t="shared" si="2"/>
        <v>11.320608572083973</v>
      </c>
    </row>
    <row r="17" spans="1:11" outlineLevel="1" x14ac:dyDescent="0.25">
      <c r="A17" s="1">
        <v>16</v>
      </c>
      <c r="B17" s="2">
        <v>9.86</v>
      </c>
      <c r="C17" s="84">
        <v>1678.87</v>
      </c>
      <c r="D17" s="84">
        <f t="shared" si="0"/>
        <v>337.32569821177412</v>
      </c>
      <c r="E17" s="84">
        <f t="shared" si="1"/>
        <v>170.27079107505071</v>
      </c>
      <c r="F17" s="84">
        <f t="shared" si="2"/>
        <v>34.211531258800626</v>
      </c>
    </row>
    <row r="18" spans="1:11" outlineLevel="1" x14ac:dyDescent="0.25">
      <c r="A18" s="1">
        <v>17</v>
      </c>
      <c r="B18" s="2">
        <v>30.3</v>
      </c>
      <c r="C18" s="84">
        <v>1638.32</v>
      </c>
      <c r="D18" s="84">
        <f t="shared" si="0"/>
        <v>329.17821981113116</v>
      </c>
      <c r="E18" s="84">
        <f t="shared" si="1"/>
        <v>54.069966996699669</v>
      </c>
      <c r="F18" s="84">
        <f t="shared" si="2"/>
        <v>10.863967650532382</v>
      </c>
    </row>
    <row r="19" spans="1:11" outlineLevel="1" x14ac:dyDescent="0.25">
      <c r="A19" s="1">
        <v>18</v>
      </c>
      <c r="B19" s="2">
        <v>4.5999999999999996</v>
      </c>
      <c r="C19" s="84">
        <v>689.29</v>
      </c>
      <c r="D19" s="84">
        <f t="shared" si="0"/>
        <v>138.49507735583683</v>
      </c>
      <c r="E19" s="84">
        <f t="shared" si="1"/>
        <v>149.84565217391304</v>
      </c>
      <c r="F19" s="84">
        <f t="shared" si="2"/>
        <v>30.107625512138444</v>
      </c>
    </row>
    <row r="20" spans="1:11" outlineLevel="1" x14ac:dyDescent="0.25">
      <c r="A20" s="1">
        <v>19</v>
      </c>
      <c r="B20" s="2">
        <v>35.6</v>
      </c>
      <c r="C20" s="84">
        <v>2354.627</v>
      </c>
      <c r="D20" s="84">
        <f t="shared" si="0"/>
        <v>473.10166767128788</v>
      </c>
      <c r="E20" s="84">
        <f t="shared" si="1"/>
        <v>66.141207865168539</v>
      </c>
      <c r="F20" s="84">
        <f t="shared" si="2"/>
        <v>13.289372687395728</v>
      </c>
    </row>
    <row r="21" spans="1:11" outlineLevel="1" x14ac:dyDescent="0.25">
      <c r="A21" s="1">
        <v>20</v>
      </c>
      <c r="B21" s="2">
        <v>21</v>
      </c>
      <c r="C21" s="84">
        <v>1468</v>
      </c>
      <c r="D21" s="84">
        <f t="shared" si="0"/>
        <v>294.95680128591522</v>
      </c>
      <c r="E21" s="84">
        <f t="shared" si="1"/>
        <v>69.904761904761898</v>
      </c>
      <c r="F21" s="84">
        <f t="shared" si="2"/>
        <v>14.04556196599596</v>
      </c>
    </row>
    <row r="22" spans="1:11" outlineLevel="1" x14ac:dyDescent="0.25">
      <c r="A22" s="1">
        <v>21</v>
      </c>
      <c r="B22" s="2">
        <v>23.4</v>
      </c>
      <c r="C22" s="84">
        <v>1996</v>
      </c>
      <c r="D22" s="84">
        <f t="shared" si="0"/>
        <v>401.04480610809725</v>
      </c>
      <c r="E22" s="84">
        <f t="shared" si="1"/>
        <v>85.299145299145309</v>
      </c>
      <c r="F22" s="84">
        <f t="shared" si="2"/>
        <v>17.138666927696466</v>
      </c>
    </row>
    <row r="23" spans="1:11" outlineLevel="1" x14ac:dyDescent="0.25">
      <c r="A23" s="1">
        <v>22</v>
      </c>
      <c r="B23" s="2">
        <v>13.16</v>
      </c>
      <c r="C23" s="84">
        <v>1830</v>
      </c>
      <c r="D23" s="84">
        <f t="shared" si="0"/>
        <v>367.69138034960815</v>
      </c>
      <c r="E23" s="84">
        <f t="shared" si="1"/>
        <v>139.05775075987842</v>
      </c>
      <c r="F23" s="84">
        <f t="shared" si="2"/>
        <v>27.940074494651075</v>
      </c>
    </row>
    <row r="24" spans="1:11" outlineLevel="1" x14ac:dyDescent="0.25">
      <c r="A24" s="1">
        <v>23</v>
      </c>
      <c r="B24" s="2">
        <v>18.998999999999999</v>
      </c>
      <c r="C24" s="84">
        <v>1277.95</v>
      </c>
      <c r="D24" s="84">
        <f t="shared" si="0"/>
        <v>256.77114727747636</v>
      </c>
      <c r="E24" s="84">
        <f t="shared" si="1"/>
        <v>67.26406652981737</v>
      </c>
      <c r="F24" s="84">
        <f t="shared" si="2"/>
        <v>13.514982224194769</v>
      </c>
      <c r="H24" s="42"/>
      <c r="K24" s="42"/>
    </row>
    <row r="25" spans="1:11" outlineLevel="1" x14ac:dyDescent="0.25">
      <c r="A25" s="1">
        <v>24</v>
      </c>
      <c r="B25" s="2">
        <v>28.094000000000001</v>
      </c>
      <c r="C25" s="84">
        <v>1765.93</v>
      </c>
      <c r="D25" s="84">
        <f t="shared" si="0"/>
        <v>354.81816355234076</v>
      </c>
      <c r="E25" s="84">
        <f t="shared" si="1"/>
        <v>62.857905602619773</v>
      </c>
      <c r="F25" s="84">
        <f t="shared" si="2"/>
        <v>12.629677637657178</v>
      </c>
      <c r="H25" s="42"/>
    </row>
    <row r="26" spans="1:11" outlineLevel="1" x14ac:dyDescent="0.25">
      <c r="A26" s="1">
        <v>25</v>
      </c>
      <c r="B26" s="2">
        <v>38.78</v>
      </c>
      <c r="C26" s="84">
        <v>2485.1590000000001</v>
      </c>
      <c r="D26" s="84">
        <f t="shared" si="0"/>
        <v>499.32871207554751</v>
      </c>
      <c r="E26" s="84">
        <f t="shared" si="1"/>
        <v>64.083522434244458</v>
      </c>
      <c r="F26" s="84">
        <f t="shared" si="2"/>
        <v>12.875933782247229</v>
      </c>
      <c r="H26" s="42"/>
      <c r="K26" s="42"/>
    </row>
    <row r="27" spans="1:11" outlineLevel="1" x14ac:dyDescent="0.25">
      <c r="A27" s="1">
        <v>26</v>
      </c>
      <c r="B27" s="2">
        <v>21.521999999999998</v>
      </c>
      <c r="C27" s="84">
        <v>1673.768</v>
      </c>
      <c r="D27" s="84">
        <f t="shared" si="0"/>
        <v>336.30058268032951</v>
      </c>
      <c r="E27" s="84">
        <f t="shared" si="1"/>
        <v>77.770095716011525</v>
      </c>
      <c r="F27" s="84">
        <f t="shared" si="2"/>
        <v>15.62589827526854</v>
      </c>
    </row>
    <row r="28" spans="1:11" outlineLevel="1" x14ac:dyDescent="0.25">
      <c r="A28" s="1">
        <v>27</v>
      </c>
      <c r="B28" s="2">
        <v>30.8</v>
      </c>
      <c r="C28" s="84">
        <v>1317.0730000000001</v>
      </c>
      <c r="D28" s="84">
        <f t="shared" si="0"/>
        <v>264.63190677114727</v>
      </c>
      <c r="E28" s="84">
        <f t="shared" si="1"/>
        <v>42.762110389610392</v>
      </c>
      <c r="F28" s="84">
        <f t="shared" si="2"/>
        <v>8.5919450250372496</v>
      </c>
    </row>
    <row r="29" spans="1:11" outlineLevel="1" x14ac:dyDescent="0.25">
      <c r="A29" s="1">
        <v>28</v>
      </c>
      <c r="B29" s="2">
        <v>36.1</v>
      </c>
      <c r="C29" s="84">
        <v>1469.39</v>
      </c>
      <c r="D29" s="84">
        <f t="shared" si="0"/>
        <v>295.23608599557969</v>
      </c>
      <c r="E29" s="84">
        <f t="shared" si="1"/>
        <v>40.703324099722991</v>
      </c>
      <c r="F29" s="84">
        <f t="shared" si="2"/>
        <v>8.178284930625475</v>
      </c>
    </row>
    <row r="30" spans="1:11" outlineLevel="1" x14ac:dyDescent="0.25">
      <c r="A30" s="1">
        <v>29</v>
      </c>
      <c r="B30" s="2">
        <v>10.94</v>
      </c>
      <c r="C30" s="84">
        <v>763.72</v>
      </c>
      <c r="D30" s="84">
        <f t="shared" si="0"/>
        <v>153.44986939923649</v>
      </c>
      <c r="E30" s="84">
        <f t="shared" si="1"/>
        <v>69.809872029250457</v>
      </c>
      <c r="F30" s="84">
        <f t="shared" si="2"/>
        <v>14.026496288778471</v>
      </c>
    </row>
    <row r="31" spans="1:11" outlineLevel="1" x14ac:dyDescent="0.25">
      <c r="A31" s="1">
        <v>30</v>
      </c>
      <c r="B31" s="2">
        <v>28.35</v>
      </c>
      <c r="C31" s="84">
        <v>1249</v>
      </c>
      <c r="D31" s="84">
        <f t="shared" si="0"/>
        <v>250.95439019489652</v>
      </c>
      <c r="E31" s="84">
        <f t="shared" si="1"/>
        <v>44.056437389770721</v>
      </c>
      <c r="F31" s="84">
        <f t="shared" si="2"/>
        <v>8.8520067088146916</v>
      </c>
    </row>
    <row r="32" spans="1:11" outlineLevel="1" x14ac:dyDescent="0.25">
      <c r="A32" s="1">
        <v>31</v>
      </c>
      <c r="B32" s="2">
        <v>13.9</v>
      </c>
      <c r="C32" s="84">
        <v>1093</v>
      </c>
      <c r="D32" s="84">
        <f t="shared" si="0"/>
        <v>219.61020695197908</v>
      </c>
      <c r="E32" s="84">
        <f t="shared" si="1"/>
        <v>78.633093525179859</v>
      </c>
      <c r="F32" s="84">
        <f t="shared" si="2"/>
        <v>15.799295464171157</v>
      </c>
    </row>
    <row r="33" spans="1:8" x14ac:dyDescent="0.25">
      <c r="A33" s="1" t="s">
        <v>6</v>
      </c>
      <c r="B33" s="80">
        <f>SUM(B2:B32)</f>
        <v>661.08000000000015</v>
      </c>
      <c r="C33" s="81">
        <f>SUM(C2:C32)</f>
        <v>49080.920999999995</v>
      </c>
      <c r="D33" s="81">
        <f>SUM(D2:D32)</f>
        <v>9861.5473176612377</v>
      </c>
      <c r="E33" s="82">
        <f>C33/B33</f>
        <v>74.243542385187851</v>
      </c>
      <c r="F33" s="85">
        <f>D33/B33</f>
        <v>14.917328186696368</v>
      </c>
    </row>
    <row r="34" spans="1:8" x14ac:dyDescent="0.25">
      <c r="A34" s="5"/>
      <c r="B34" s="37"/>
      <c r="C34" s="86"/>
      <c r="D34" s="86"/>
      <c r="E34" s="86"/>
      <c r="F34" s="86"/>
    </row>
    <row r="35" spans="1:8" x14ac:dyDescent="0.25">
      <c r="A35" s="5"/>
      <c r="B35" s="37"/>
      <c r="C35" s="8"/>
      <c r="D35" s="8"/>
      <c r="E35" s="8"/>
      <c r="F35" s="8"/>
    </row>
    <row r="36" spans="1:8" ht="15.75" x14ac:dyDescent="0.25">
      <c r="A36" s="6" t="s">
        <v>7</v>
      </c>
      <c r="B36" s="90">
        <f>'% in CA'!D12</f>
        <v>3.7242783409694898E-2</v>
      </c>
      <c r="C36" s="8"/>
      <c r="D36" s="20"/>
      <c r="E36" s="8"/>
      <c r="F36" s="8"/>
    </row>
    <row r="38" spans="1:8" ht="15.75" x14ac:dyDescent="0.25">
      <c r="A38" s="6" t="s">
        <v>8</v>
      </c>
      <c r="B38" s="4">
        <v>25</v>
      </c>
      <c r="C38" s="42" t="s">
        <v>9</v>
      </c>
    </row>
    <row r="39" spans="1:8" ht="15.75" x14ac:dyDescent="0.25">
      <c r="A39" s="6"/>
      <c r="B39" s="7"/>
      <c r="C39" s="8"/>
      <c r="D39" s="142"/>
      <c r="E39" s="142"/>
    </row>
    <row r="40" spans="1:8" x14ac:dyDescent="0.25">
      <c r="A40" s="38" t="s">
        <v>10</v>
      </c>
      <c r="B40" s="72">
        <f>-PMT(B36,B38,C33*10^6)</f>
        <v>3050874422.9541144</v>
      </c>
      <c r="C40" s="42" t="s">
        <v>11</v>
      </c>
      <c r="D40" s="87"/>
      <c r="E40" s="87"/>
      <c r="H40" s="11"/>
    </row>
    <row r="41" spans="1:8" x14ac:dyDescent="0.25">
      <c r="G41" s="11"/>
      <c r="H41" s="11"/>
    </row>
    <row r="42" spans="1:8" ht="29.25" x14ac:dyDescent="0.25">
      <c r="A42" s="22" t="s">
        <v>12</v>
      </c>
      <c r="B42" s="73">
        <f>'% in CA'!D5</f>
        <v>3.1433943836838764E-2</v>
      </c>
      <c r="C42" s="88" t="s">
        <v>135</v>
      </c>
      <c r="D42" s="88"/>
    </row>
    <row r="43" spans="1:8" x14ac:dyDescent="0.25">
      <c r="A43" s="22"/>
      <c r="B43" s="23"/>
      <c r="C43" s="88"/>
      <c r="D43" s="88"/>
    </row>
    <row r="44" spans="1:8" x14ac:dyDescent="0.25">
      <c r="A44" s="8" t="s">
        <v>14</v>
      </c>
      <c r="B44" s="74">
        <f>B40*B42/4.977</f>
        <v>19268839.715569116</v>
      </c>
      <c r="C44" s="8" t="s">
        <v>15</v>
      </c>
    </row>
    <row r="45" spans="1:8" x14ac:dyDescent="0.25">
      <c r="A45" s="8" t="s">
        <v>14</v>
      </c>
      <c r="B45" s="74">
        <f>B44/12</f>
        <v>1605736.642964093</v>
      </c>
      <c r="C45" s="8" t="s">
        <v>16</v>
      </c>
    </row>
    <row r="46" spans="1:8" x14ac:dyDescent="0.25">
      <c r="A46" s="8" t="s">
        <v>14</v>
      </c>
      <c r="B46" s="75">
        <f>B45/B33/1000</f>
        <v>2.428959646281982</v>
      </c>
      <c r="C46" s="8" t="s">
        <v>17</v>
      </c>
    </row>
    <row r="47" spans="1:8" x14ac:dyDescent="0.25">
      <c r="B47" s="13"/>
    </row>
    <row r="48" spans="1:8" ht="171" x14ac:dyDescent="0.25">
      <c r="A48" s="91" t="s">
        <v>18</v>
      </c>
      <c r="B48" s="92" t="s">
        <v>19</v>
      </c>
      <c r="C48" s="93" t="s">
        <v>20</v>
      </c>
      <c r="D48" s="93" t="s">
        <v>21</v>
      </c>
      <c r="E48" s="93" t="s">
        <v>22</v>
      </c>
      <c r="F48" s="93" t="s">
        <v>23</v>
      </c>
    </row>
    <row r="49" spans="1:6" x14ac:dyDescent="0.25">
      <c r="A49" s="94" t="s">
        <v>24</v>
      </c>
      <c r="B49" s="95">
        <v>15</v>
      </c>
      <c r="C49" s="96">
        <v>26</v>
      </c>
      <c r="D49" s="96">
        <f>C49+2</f>
        <v>28</v>
      </c>
      <c r="E49" s="96">
        <v>33.5</v>
      </c>
      <c r="F49" s="96">
        <v>50</v>
      </c>
    </row>
    <row r="51" spans="1:6" ht="42.75" x14ac:dyDescent="0.25">
      <c r="A51" s="97" t="s">
        <v>18</v>
      </c>
      <c r="B51" s="92" t="s">
        <v>25</v>
      </c>
      <c r="C51" s="93" t="s">
        <v>26</v>
      </c>
      <c r="D51" s="93"/>
      <c r="E51" s="93" t="s">
        <v>27</v>
      </c>
    </row>
    <row r="52" spans="1:6" x14ac:dyDescent="0.25">
      <c r="A52" s="98" t="s">
        <v>28</v>
      </c>
      <c r="B52" s="99">
        <f>B46/B49</f>
        <v>0.16193064308546548</v>
      </c>
      <c r="C52" s="100">
        <f>B46/C49</f>
        <v>9.3421524856999311E-2</v>
      </c>
      <c r="D52" s="100"/>
      <c r="E52" s="100">
        <f>B46/E49</f>
        <v>7.2506258097969609E-2</v>
      </c>
    </row>
    <row r="54" spans="1:6" x14ac:dyDescent="0.25">
      <c r="A54" s="91" t="s">
        <v>29</v>
      </c>
      <c r="B54" s="101">
        <v>0.3</v>
      </c>
      <c r="C54" s="42" t="s">
        <v>130</v>
      </c>
    </row>
    <row r="56" spans="1:6" ht="42.75" x14ac:dyDescent="0.25">
      <c r="A56" s="102" t="s">
        <v>18</v>
      </c>
      <c r="B56" s="103" t="s">
        <v>25</v>
      </c>
      <c r="C56" s="104" t="s">
        <v>26</v>
      </c>
      <c r="D56" s="104"/>
      <c r="E56" s="104" t="s">
        <v>27</v>
      </c>
    </row>
    <row r="57" spans="1:6" x14ac:dyDescent="0.25">
      <c r="A57" s="17" t="s">
        <v>30</v>
      </c>
      <c r="B57" s="99">
        <f>B52*B54</f>
        <v>4.8579192925639642E-2</v>
      </c>
      <c r="C57" s="100">
        <f>C52*B54</f>
        <v>2.8026457457099793E-2</v>
      </c>
      <c r="D57" s="100"/>
      <c r="E57" s="100">
        <f>E52*B54</f>
        <v>2.1751877429390883E-2</v>
      </c>
    </row>
    <row r="58" spans="1:6" x14ac:dyDescent="0.25">
      <c r="A58" s="17" t="s">
        <v>31</v>
      </c>
      <c r="B58" s="99">
        <f>B57*1000</f>
        <v>48.579192925639639</v>
      </c>
      <c r="C58" s="105">
        <f t="shared" ref="C58:E58" si="3">C57*1000</f>
        <v>28.026457457099792</v>
      </c>
      <c r="D58" s="105"/>
      <c r="E58" s="105">
        <f t="shared" si="3"/>
        <v>21.751877429390884</v>
      </c>
    </row>
    <row r="59" spans="1:6" x14ac:dyDescent="0.25">
      <c r="A59" s="17" t="s">
        <v>32</v>
      </c>
      <c r="B59" s="99">
        <f>B58*12</f>
        <v>582.95031510767569</v>
      </c>
      <c r="C59" s="105">
        <f t="shared" ref="C59:E59" si="4">C58*12</f>
        <v>336.31748948519748</v>
      </c>
      <c r="D59" s="105"/>
      <c r="E59" s="105">
        <f t="shared" si="4"/>
        <v>261.02252915269059</v>
      </c>
    </row>
    <row r="60" spans="1:6" x14ac:dyDescent="0.25">
      <c r="A60" s="20"/>
      <c r="B60" s="19"/>
      <c r="C60" s="89"/>
      <c r="D60" s="89"/>
      <c r="E60" s="89"/>
    </row>
    <row r="61" spans="1:6" x14ac:dyDescent="0.25">
      <c r="A61" s="20" t="s">
        <v>33</v>
      </c>
      <c r="B61" s="99">
        <f>'OPEX CNAIR'!D3/1.19</f>
        <v>13606.76826087166</v>
      </c>
      <c r="C61" s="42" t="s">
        <v>34</v>
      </c>
      <c r="D61" s="68" t="s">
        <v>35</v>
      </c>
      <c r="E61" s="68"/>
    </row>
    <row r="62" spans="1:6" x14ac:dyDescent="0.25">
      <c r="A62" s="20" t="s">
        <v>36</v>
      </c>
      <c r="B62" s="107">
        <f>B61*B42</f>
        <v>427.71438931312002</v>
      </c>
      <c r="C62" s="42" t="s">
        <v>34</v>
      </c>
      <c r="D62" s="89"/>
      <c r="E62" s="89"/>
    </row>
    <row r="63" spans="1:6" x14ac:dyDescent="0.25">
      <c r="A63" s="20"/>
      <c r="B63" s="67"/>
      <c r="D63" s="89"/>
      <c r="E63" s="89"/>
    </row>
    <row r="64" spans="1:6" x14ac:dyDescent="0.25">
      <c r="A64" s="17" t="s">
        <v>37</v>
      </c>
      <c r="B64" s="99">
        <f>B62/1000/12</f>
        <v>3.5642865776093331E-2</v>
      </c>
      <c r="D64" s="89"/>
      <c r="E64" s="89"/>
    </row>
    <row r="65" spans="1:9" x14ac:dyDescent="0.25">
      <c r="A65" s="17" t="s">
        <v>38</v>
      </c>
      <c r="B65" s="99">
        <f>B64*1000</f>
        <v>35.642865776093331</v>
      </c>
      <c r="D65" s="89"/>
      <c r="E65" s="89"/>
    </row>
    <row r="66" spans="1:9" x14ac:dyDescent="0.25">
      <c r="A66" s="17" t="s">
        <v>39</v>
      </c>
      <c r="B66" s="107">
        <f>B65*12</f>
        <v>427.71438931311997</v>
      </c>
      <c r="C66" s="89"/>
      <c r="D66" s="89"/>
      <c r="E66" s="89"/>
    </row>
    <row r="67" spans="1:9" x14ac:dyDescent="0.25">
      <c r="A67" s="18"/>
      <c r="B67" s="19"/>
      <c r="C67" s="89"/>
      <c r="D67" s="89"/>
      <c r="E67" s="89"/>
    </row>
    <row r="68" spans="1:9" ht="15.75" x14ac:dyDescent="0.25">
      <c r="A68" s="20" t="s">
        <v>40</v>
      </c>
      <c r="B68" s="21">
        <v>3</v>
      </c>
    </row>
    <row r="69" spans="1:9" x14ac:dyDescent="0.25">
      <c r="A69" s="20"/>
      <c r="B69" s="20"/>
    </row>
    <row r="70" spans="1:9" ht="42.75" x14ac:dyDescent="0.25">
      <c r="A70" s="110" t="s">
        <v>41</v>
      </c>
      <c r="B70" s="108" t="s">
        <v>25</v>
      </c>
      <c r="C70" s="109" t="s">
        <v>26</v>
      </c>
      <c r="D70" s="109"/>
      <c r="E70" s="109" t="s">
        <v>27</v>
      </c>
      <c r="H70" s="141" t="s">
        <v>40</v>
      </c>
      <c r="I70" s="32">
        <v>1</v>
      </c>
    </row>
    <row r="71" spans="1:9" x14ac:dyDescent="0.25">
      <c r="A71" s="17" t="s">
        <v>42</v>
      </c>
      <c r="B71" s="119">
        <f>(B57+B64)/$B$68</f>
        <v>2.8074019567244323E-2</v>
      </c>
      <c r="C71" s="119">
        <f>(C57+B64)/$B$68</f>
        <v>2.1223107744397712E-2</v>
      </c>
      <c r="D71" s="119"/>
      <c r="E71" s="119">
        <f>(E57+B64)/$B$68</f>
        <v>1.9131581068494736E-2</v>
      </c>
      <c r="F71" s="69" t="s">
        <v>35</v>
      </c>
      <c r="H71" s="141"/>
      <c r="I71" s="32">
        <v>2</v>
      </c>
    </row>
    <row r="72" spans="1:9" x14ac:dyDescent="0.25">
      <c r="A72" s="17" t="s">
        <v>43</v>
      </c>
      <c r="B72" s="120">
        <f>B71*1000</f>
        <v>28.074019567244324</v>
      </c>
      <c r="C72" s="119">
        <f t="shared" ref="C72:E72" si="5">C71*1000</f>
        <v>21.223107744397712</v>
      </c>
      <c r="D72" s="119"/>
      <c r="E72" s="119">
        <f t="shared" si="5"/>
        <v>19.131581068494736</v>
      </c>
      <c r="F72" s="69" t="s">
        <v>35</v>
      </c>
      <c r="H72" s="141"/>
      <c r="I72" s="32">
        <v>2.5</v>
      </c>
    </row>
    <row r="73" spans="1:9" x14ac:dyDescent="0.25">
      <c r="A73" s="17" t="s">
        <v>44</v>
      </c>
      <c r="B73" s="120">
        <f>B72*12</f>
        <v>336.88823480693191</v>
      </c>
      <c r="C73" s="119">
        <f t="shared" ref="C73:E73" si="6">C72*12</f>
        <v>254.67729293277256</v>
      </c>
      <c r="D73" s="119"/>
      <c r="E73" s="119">
        <f t="shared" si="6"/>
        <v>229.57897282193682</v>
      </c>
      <c r="F73" s="69" t="s">
        <v>35</v>
      </c>
      <c r="H73" s="141"/>
      <c r="I73" s="32">
        <v>3</v>
      </c>
    </row>
    <row r="74" spans="1:9" x14ac:dyDescent="0.25">
      <c r="H74" s="141"/>
      <c r="I74" s="32">
        <v>3.5</v>
      </c>
    </row>
    <row r="75" spans="1:9" ht="17.25" x14ac:dyDescent="0.4">
      <c r="A75" s="20" t="s">
        <v>45</v>
      </c>
      <c r="B75" s="12">
        <f>0.56/1.19</f>
        <v>0.4705882352941177</v>
      </c>
      <c r="C75" s="12">
        <f>0.43/1.19</f>
        <v>0.36134453781512604</v>
      </c>
      <c r="D75" s="12"/>
      <c r="E75" s="12">
        <f>0.21/1.19</f>
        <v>0.17647058823529413</v>
      </c>
    </row>
    <row r="76" spans="1:9" x14ac:dyDescent="0.25">
      <c r="A76" s="20" t="s">
        <v>131</v>
      </c>
      <c r="B76" s="111">
        <f>B75*1000*12</f>
        <v>5647.0588235294126</v>
      </c>
      <c r="C76" s="111">
        <f>C75*1000*12</f>
        <v>4336.134453781513</v>
      </c>
      <c r="D76" s="12"/>
      <c r="E76" s="111">
        <f>E75*1000*12</f>
        <v>2117.6470588235293</v>
      </c>
    </row>
  </sheetData>
  <mergeCells count="2">
    <mergeCell ref="H70:H74"/>
    <mergeCell ref="D39:E39"/>
  </mergeCells>
  <dataValidations disablePrompts="1" count="1">
    <dataValidation type="list" allowBlank="1" showInputMessage="1" showErrorMessage="1" sqref="B68" xr:uid="{6E99762D-98DD-4819-A0F1-97DC728ABD95}">
      <formula1>$I$70:$I$74</formula1>
    </dataValidation>
  </dataValidations>
  <pageMargins left="0.25" right="0.25" top="0.5" bottom="0.5" header="0.05" footer="0.05"/>
  <pageSetup paperSize="9" scale="71" fitToHeight="2" orientation="landscape" r:id="rId1"/>
  <headerFooter>
    <oddHeader>&amp;F</oddHeader>
    <oddFooter>&amp;C&amp;A&amp;R&amp;P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19176-49C7-46FD-804A-E0B62CB2C820}">
  <sheetPr>
    <pageSetUpPr fitToPage="1"/>
  </sheetPr>
  <dimension ref="A1:I49"/>
  <sheetViews>
    <sheetView tabSelected="1" workbookViewId="0">
      <selection activeCell="D3" sqref="D3"/>
    </sheetView>
  </sheetViews>
  <sheetFormatPr defaultColWidth="20.7109375" defaultRowHeight="15" x14ac:dyDescent="0.25"/>
  <cols>
    <col min="1" max="1" width="36.85546875" bestFit="1" customWidth="1"/>
    <col min="2" max="2" width="17.28515625" style="15" bestFit="1" customWidth="1"/>
    <col min="3" max="3" width="20" customWidth="1"/>
    <col min="4" max="4" width="20.5703125" bestFit="1" customWidth="1"/>
    <col min="5" max="5" width="20" bestFit="1" customWidth="1"/>
    <col min="6" max="6" width="20.5703125" bestFit="1" customWidth="1"/>
    <col min="7" max="7" width="5.28515625" customWidth="1"/>
    <col min="8" max="8" width="16.28515625" bestFit="1" customWidth="1"/>
    <col min="9" max="9" width="6" bestFit="1" customWidth="1"/>
  </cols>
  <sheetData>
    <row r="1" spans="1:6" ht="30" x14ac:dyDescent="0.25">
      <c r="A1" s="78" t="s">
        <v>46</v>
      </c>
      <c r="B1" s="79" t="s">
        <v>1</v>
      </c>
      <c r="C1" s="78" t="s">
        <v>2</v>
      </c>
      <c r="D1" s="78" t="s">
        <v>3</v>
      </c>
      <c r="E1" s="78" t="s">
        <v>4</v>
      </c>
      <c r="F1" s="78" t="s">
        <v>5</v>
      </c>
    </row>
    <row r="2" spans="1:6" ht="30" x14ac:dyDescent="0.25">
      <c r="A2" s="25" t="s">
        <v>47</v>
      </c>
      <c r="B2" s="113">
        <v>4.9569999999999999</v>
      </c>
      <c r="C2" s="85">
        <v>562.61300000000006</v>
      </c>
      <c r="D2" s="85">
        <f>C2/4.977</f>
        <v>113.04259594133012</v>
      </c>
      <c r="E2" s="85">
        <f>C2/B2</f>
        <v>113.49868872301796</v>
      </c>
      <c r="F2" s="85">
        <f>E2/4.977</f>
        <v>22.804639084391795</v>
      </c>
    </row>
    <row r="3" spans="1:6" x14ac:dyDescent="0.25">
      <c r="A3" s="1" t="s">
        <v>48</v>
      </c>
      <c r="B3" s="80">
        <v>10.77</v>
      </c>
      <c r="C3" s="85">
        <v>371.42</v>
      </c>
      <c r="D3" s="85">
        <f t="shared" ref="D3:D6" si="0">C3/4.977</f>
        <v>74.627285513361457</v>
      </c>
      <c r="E3" s="85">
        <f t="shared" ref="E3:E5" si="1">C3/B3</f>
        <v>34.486536675951719</v>
      </c>
      <c r="F3" s="85">
        <f t="shared" ref="F3:F6" si="2">E3/4.977</f>
        <v>6.929181570414249</v>
      </c>
    </row>
    <row r="4" spans="1:6" ht="90" x14ac:dyDescent="0.25">
      <c r="A4" s="25" t="s">
        <v>49</v>
      </c>
      <c r="B4" s="80">
        <v>17.7</v>
      </c>
      <c r="C4" s="85">
        <v>439.29</v>
      </c>
      <c r="D4" s="85">
        <f t="shared" si="0"/>
        <v>88.264014466546115</v>
      </c>
      <c r="E4" s="85">
        <f t="shared" si="1"/>
        <v>24.818644067796612</v>
      </c>
      <c r="F4" s="85">
        <f t="shared" si="2"/>
        <v>4.9866674839856557</v>
      </c>
    </row>
    <row r="5" spans="1:6" ht="30" x14ac:dyDescent="0.25">
      <c r="A5" s="25" t="s">
        <v>50</v>
      </c>
      <c r="B5" s="80">
        <v>31.82</v>
      </c>
      <c r="C5" s="85">
        <v>617.08000000000004</v>
      </c>
      <c r="D5" s="85">
        <f t="shared" si="0"/>
        <v>123.98633715089412</v>
      </c>
      <c r="E5" s="85">
        <f t="shared" si="1"/>
        <v>19.392834695160278</v>
      </c>
      <c r="F5" s="85">
        <f t="shared" si="2"/>
        <v>3.8964907966968609</v>
      </c>
    </row>
    <row r="6" spans="1:6" x14ac:dyDescent="0.25">
      <c r="A6" s="3" t="s">
        <v>51</v>
      </c>
      <c r="B6" s="114">
        <f>SUM(B2:B5)</f>
        <v>65.247</v>
      </c>
      <c r="C6" s="114">
        <f>SUM(C2:C5)</f>
        <v>1990.4030000000002</v>
      </c>
      <c r="D6" s="115">
        <f t="shared" si="0"/>
        <v>399.92023307213185</v>
      </c>
      <c r="E6" s="116">
        <f>C6/B6</f>
        <v>30.505663095621259</v>
      </c>
      <c r="F6" s="116">
        <f t="shared" si="2"/>
        <v>6.129327525742668</v>
      </c>
    </row>
    <row r="7" spans="1:6" x14ac:dyDescent="0.25">
      <c r="A7" s="5"/>
      <c r="B7" s="117"/>
      <c r="C7" s="38"/>
      <c r="D7" s="69"/>
      <c r="E7" s="38"/>
      <c r="F7" s="38"/>
    </row>
    <row r="8" spans="1:6" ht="15.75" x14ac:dyDescent="0.25">
      <c r="A8" s="6" t="s">
        <v>7</v>
      </c>
      <c r="B8" s="90">
        <f>'% in CA'!D12</f>
        <v>3.7242783409694898E-2</v>
      </c>
      <c r="C8" s="5"/>
      <c r="F8" s="5"/>
    </row>
    <row r="10" spans="1:6" ht="15.75" x14ac:dyDescent="0.25">
      <c r="A10" s="6" t="s">
        <v>8</v>
      </c>
      <c r="B10" s="4">
        <v>25</v>
      </c>
      <c r="C10" t="s">
        <v>9</v>
      </c>
      <c r="D10" s="42"/>
    </row>
    <row r="11" spans="1:6" ht="15.75" x14ac:dyDescent="0.25">
      <c r="A11" s="6"/>
      <c r="B11" s="7"/>
      <c r="C11" s="5"/>
      <c r="D11" s="143"/>
      <c r="E11" s="143"/>
    </row>
    <row r="12" spans="1:6" x14ac:dyDescent="0.25">
      <c r="A12" s="8" t="s">
        <v>10</v>
      </c>
      <c r="B12" s="39">
        <f>-PMT(B8,B10,C6*10^6)</f>
        <v>123723627.84453741</v>
      </c>
      <c r="C12" t="s">
        <v>11</v>
      </c>
      <c r="D12" s="44"/>
      <c r="E12" s="45"/>
      <c r="F12" s="39"/>
    </row>
    <row r="14" spans="1:6" ht="29.25" x14ac:dyDescent="0.25">
      <c r="A14" s="22" t="s">
        <v>12</v>
      </c>
      <c r="B14" s="9">
        <f>'% in CA'!D5</f>
        <v>3.1433943836838764E-2</v>
      </c>
      <c r="C14" s="10" t="s">
        <v>13</v>
      </c>
      <c r="D14" s="10"/>
    </row>
    <row r="15" spans="1:6" x14ac:dyDescent="0.25">
      <c r="A15" s="22"/>
      <c r="B15" s="23"/>
      <c r="C15" s="10"/>
      <c r="D15" s="10"/>
    </row>
    <row r="16" spans="1:6" x14ac:dyDescent="0.25">
      <c r="A16" s="8" t="s">
        <v>14</v>
      </c>
      <c r="B16" s="72">
        <f>B12*B14/4.977</f>
        <v>781418.84045712859</v>
      </c>
      <c r="C16" t="s">
        <v>15</v>
      </c>
      <c r="E16" s="11"/>
    </row>
    <row r="17" spans="1:6" x14ac:dyDescent="0.25">
      <c r="A17" s="8" t="s">
        <v>52</v>
      </c>
      <c r="B17" s="72">
        <f>B16/12</f>
        <v>65118.236704760719</v>
      </c>
      <c r="C17" t="s">
        <v>16</v>
      </c>
      <c r="E17" s="11"/>
    </row>
    <row r="18" spans="1:6" x14ac:dyDescent="0.25">
      <c r="A18" s="8" t="s">
        <v>52</v>
      </c>
      <c r="B18" s="118">
        <f>B17/B6/1000</f>
        <v>0.99802652543045223</v>
      </c>
      <c r="C18" t="s">
        <v>17</v>
      </c>
      <c r="E18" s="11"/>
    </row>
    <row r="19" spans="1:6" x14ac:dyDescent="0.25">
      <c r="B19" s="13"/>
    </row>
    <row r="20" spans="1:6" ht="85.5" x14ac:dyDescent="0.25">
      <c r="A20" s="121" t="s">
        <v>18</v>
      </c>
      <c r="B20" s="92" t="s">
        <v>19</v>
      </c>
      <c r="C20" s="92" t="s">
        <v>20</v>
      </c>
      <c r="D20" s="92" t="s">
        <v>21</v>
      </c>
      <c r="E20" s="92" t="s">
        <v>22</v>
      </c>
      <c r="F20" s="92" t="s">
        <v>23</v>
      </c>
    </row>
    <row r="21" spans="1:6" x14ac:dyDescent="0.25">
      <c r="A21" s="121" t="s">
        <v>53</v>
      </c>
      <c r="B21" s="122">
        <v>14</v>
      </c>
      <c r="C21" s="123">
        <v>21.5</v>
      </c>
      <c r="D21" s="123">
        <f>C21+2</f>
        <v>23.5</v>
      </c>
      <c r="E21" s="123">
        <v>29</v>
      </c>
      <c r="F21" s="123">
        <v>50</v>
      </c>
    </row>
    <row r="23" spans="1:6" ht="28.5" x14ac:dyDescent="0.25">
      <c r="A23" s="97" t="s">
        <v>18</v>
      </c>
      <c r="B23" s="92" t="s">
        <v>25</v>
      </c>
      <c r="C23" s="92" t="s">
        <v>26</v>
      </c>
      <c r="D23" s="92"/>
      <c r="E23" s="92" t="s">
        <v>27</v>
      </c>
    </row>
    <row r="24" spans="1:6" x14ac:dyDescent="0.25">
      <c r="A24" s="17" t="s">
        <v>28</v>
      </c>
      <c r="B24" s="99">
        <f>B18/B21</f>
        <v>7.1287608959318016E-2</v>
      </c>
      <c r="C24" s="124">
        <f>B18/C21</f>
        <v>4.6419838392114054E-2</v>
      </c>
      <c r="D24" s="124"/>
      <c r="E24" s="124">
        <f>B18/E21</f>
        <v>3.4414707773463872E-2</v>
      </c>
    </row>
    <row r="25" spans="1:6" x14ac:dyDescent="0.25">
      <c r="A25" s="20"/>
      <c r="B25" s="19"/>
      <c r="C25" s="11"/>
      <c r="D25" s="11"/>
      <c r="E25" s="11"/>
    </row>
    <row r="26" spans="1:6" x14ac:dyDescent="0.25">
      <c r="A26" s="91" t="s">
        <v>29</v>
      </c>
      <c r="B26" s="125">
        <v>0.3</v>
      </c>
      <c r="C26" t="s">
        <v>130</v>
      </c>
    </row>
    <row r="28" spans="1:6" ht="28.5" x14ac:dyDescent="0.25">
      <c r="A28" s="126" t="s">
        <v>18</v>
      </c>
      <c r="B28" s="127" t="s">
        <v>25</v>
      </c>
      <c r="C28" s="127" t="s">
        <v>26</v>
      </c>
      <c r="D28" s="127"/>
      <c r="E28" s="127" t="s">
        <v>27</v>
      </c>
    </row>
    <row r="29" spans="1:6" x14ac:dyDescent="0.25">
      <c r="A29" s="17" t="s">
        <v>30</v>
      </c>
      <c r="B29" s="99">
        <f>B24*B26</f>
        <v>2.1386282687795403E-2</v>
      </c>
      <c r="C29" s="124">
        <f>C24*B26</f>
        <v>1.3925951517634216E-2</v>
      </c>
      <c r="D29" s="124"/>
      <c r="E29" s="124">
        <f>E24*B26</f>
        <v>1.0324412332039162E-2</v>
      </c>
    </row>
    <row r="30" spans="1:6" x14ac:dyDescent="0.25">
      <c r="A30" s="17" t="s">
        <v>31</v>
      </c>
      <c r="B30" s="99">
        <f>B29*1000</f>
        <v>21.386282687795404</v>
      </c>
      <c r="C30" s="99">
        <f t="shared" ref="C30:E30" si="3">C29*1000</f>
        <v>13.925951517634216</v>
      </c>
      <c r="D30" s="99"/>
      <c r="E30" s="99">
        <f t="shared" si="3"/>
        <v>10.324412332039161</v>
      </c>
    </row>
    <row r="31" spans="1:6" x14ac:dyDescent="0.25">
      <c r="A31" s="17" t="s">
        <v>32</v>
      </c>
      <c r="B31" s="99">
        <f>B30*12</f>
        <v>256.63539225354486</v>
      </c>
      <c r="C31" s="99">
        <f t="shared" ref="C31:E31" si="4">C30*12</f>
        <v>167.11141821161058</v>
      </c>
      <c r="D31" s="99"/>
      <c r="E31" s="99">
        <f t="shared" si="4"/>
        <v>123.89294798446994</v>
      </c>
    </row>
    <row r="32" spans="1:6" x14ac:dyDescent="0.25">
      <c r="A32" s="18"/>
      <c r="B32" s="19"/>
      <c r="C32" s="19"/>
      <c r="D32" s="19"/>
      <c r="E32" s="19"/>
    </row>
    <row r="33" spans="1:9" x14ac:dyDescent="0.25">
      <c r="A33" s="20" t="s">
        <v>33</v>
      </c>
      <c r="B33" s="128">
        <f>'Autostrazi-in exec-2024'!B61</f>
        <v>13606.76826087166</v>
      </c>
      <c r="C33" t="s">
        <v>34</v>
      </c>
      <c r="D33" s="68" t="s">
        <v>35</v>
      </c>
      <c r="E33" s="11"/>
    </row>
    <row r="34" spans="1:9" x14ac:dyDescent="0.25">
      <c r="A34" s="20" t="s">
        <v>36</v>
      </c>
      <c r="B34" s="106">
        <f>B33*B14</f>
        <v>427.71438931312002</v>
      </c>
      <c r="C34" t="s">
        <v>34</v>
      </c>
      <c r="D34" s="19"/>
      <c r="E34" s="11"/>
    </row>
    <row r="35" spans="1:9" x14ac:dyDescent="0.25">
      <c r="A35" s="20"/>
      <c r="B35" s="67"/>
      <c r="C35" s="11"/>
      <c r="D35" s="11"/>
      <c r="E35" s="11"/>
    </row>
    <row r="36" spans="1:9" x14ac:dyDescent="0.25">
      <c r="A36" s="17" t="s">
        <v>37</v>
      </c>
      <c r="B36" s="99">
        <f>B34/1000/12</f>
        <v>3.5642865776093331E-2</v>
      </c>
      <c r="C36" s="11"/>
      <c r="D36" s="11"/>
      <c r="E36" s="11"/>
    </row>
    <row r="37" spans="1:9" x14ac:dyDescent="0.25">
      <c r="A37" s="17" t="s">
        <v>38</v>
      </c>
      <c r="B37" s="99">
        <f>B36*1000</f>
        <v>35.642865776093331</v>
      </c>
      <c r="C37" s="11"/>
      <c r="D37" s="11"/>
      <c r="E37" s="11"/>
    </row>
    <row r="38" spans="1:9" x14ac:dyDescent="0.25">
      <c r="A38" s="17" t="s">
        <v>39</v>
      </c>
      <c r="B38" s="107">
        <f>B37*12</f>
        <v>427.71438931311997</v>
      </c>
    </row>
    <row r="39" spans="1:9" x14ac:dyDescent="0.25">
      <c r="A39" s="18"/>
    </row>
    <row r="40" spans="1:9" ht="15.75" x14ac:dyDescent="0.25">
      <c r="A40" s="20" t="s">
        <v>40</v>
      </c>
      <c r="B40" s="21">
        <v>3</v>
      </c>
    </row>
    <row r="41" spans="1:9" x14ac:dyDescent="0.25">
      <c r="A41" s="20"/>
      <c r="B41" s="41"/>
      <c r="H41" s="144" t="s">
        <v>54</v>
      </c>
      <c r="I41" s="32">
        <v>1</v>
      </c>
    </row>
    <row r="42" spans="1:9" x14ac:dyDescent="0.25">
      <c r="H42" s="145"/>
      <c r="I42" s="32">
        <v>2</v>
      </c>
    </row>
    <row r="43" spans="1:9" ht="28.5" x14ac:dyDescent="0.25">
      <c r="A43" s="97" t="s">
        <v>41</v>
      </c>
      <c r="B43" s="92" t="s">
        <v>25</v>
      </c>
      <c r="C43" s="92" t="s">
        <v>26</v>
      </c>
      <c r="D43" s="92"/>
      <c r="E43" s="92" t="s">
        <v>27</v>
      </c>
      <c r="H43" s="145"/>
      <c r="I43" s="32">
        <v>2.5</v>
      </c>
    </row>
    <row r="44" spans="1:9" x14ac:dyDescent="0.25">
      <c r="A44" s="17" t="s">
        <v>42</v>
      </c>
      <c r="B44" s="119">
        <f>(B29+B36)/$B$40</f>
        <v>1.9009716154629579E-2</v>
      </c>
      <c r="C44" s="119">
        <f>(C29+B36)/$B$40</f>
        <v>1.6522939097909181E-2</v>
      </c>
      <c r="D44" s="119"/>
      <c r="E44" s="119">
        <f>(E29+B36)/$B$40</f>
        <v>1.5322426036044163E-2</v>
      </c>
      <c r="F44" s="68" t="s">
        <v>35</v>
      </c>
      <c r="H44" s="145"/>
      <c r="I44" s="32">
        <v>3</v>
      </c>
    </row>
    <row r="45" spans="1:9" x14ac:dyDescent="0.25">
      <c r="A45" s="17" t="s">
        <v>43</v>
      </c>
      <c r="B45" s="120">
        <f>B44*1000</f>
        <v>19.009716154629579</v>
      </c>
      <c r="C45" s="120">
        <f t="shared" ref="C45:E45" si="5">C44*1000</f>
        <v>16.52293909790918</v>
      </c>
      <c r="D45" s="120"/>
      <c r="E45" s="120">
        <f t="shared" si="5"/>
        <v>15.322426036044163</v>
      </c>
      <c r="F45" s="68" t="s">
        <v>35</v>
      </c>
      <c r="H45" s="145"/>
      <c r="I45" s="32">
        <v>3.5</v>
      </c>
    </row>
    <row r="46" spans="1:9" x14ac:dyDescent="0.25">
      <c r="A46" s="17" t="s">
        <v>44</v>
      </c>
      <c r="B46" s="120">
        <f>B45*12</f>
        <v>228.11659385555495</v>
      </c>
      <c r="C46" s="120">
        <f t="shared" ref="C46:E46" si="6">C45*12</f>
        <v>198.27526917491016</v>
      </c>
      <c r="D46" s="120"/>
      <c r="E46" s="120">
        <f t="shared" si="6"/>
        <v>183.86911243252996</v>
      </c>
      <c r="F46" s="68" t="s">
        <v>35</v>
      </c>
      <c r="H46" s="55"/>
      <c r="I46" s="55"/>
    </row>
    <row r="47" spans="1:9" x14ac:dyDescent="0.25">
      <c r="H47" s="55"/>
      <c r="I47" s="55"/>
    </row>
    <row r="48" spans="1:9" ht="17.25" x14ac:dyDescent="0.4">
      <c r="A48" s="20" t="s">
        <v>45</v>
      </c>
      <c r="B48" s="12">
        <f>0.56/1.19</f>
        <v>0.4705882352941177</v>
      </c>
      <c r="C48" s="12">
        <f>0.43/1.19</f>
        <v>0.36134453781512604</v>
      </c>
      <c r="D48" s="12"/>
      <c r="E48" s="12">
        <f>0.21/1.19</f>
        <v>0.17647058823529413</v>
      </c>
    </row>
    <row r="49" spans="1:5" x14ac:dyDescent="0.25">
      <c r="A49" s="20" t="s">
        <v>131</v>
      </c>
      <c r="B49" s="111">
        <f>B48*1000*12</f>
        <v>5647.0588235294126</v>
      </c>
      <c r="C49" s="111">
        <f>C48*1000*12</f>
        <v>4336.134453781513</v>
      </c>
      <c r="D49" s="12"/>
      <c r="E49" s="111">
        <f>E48*1000*12</f>
        <v>2117.6470588235293</v>
      </c>
    </row>
  </sheetData>
  <mergeCells count="2">
    <mergeCell ref="D11:E11"/>
    <mergeCell ref="H41:H45"/>
  </mergeCells>
  <dataValidations count="1">
    <dataValidation type="list" allowBlank="1" showInputMessage="1" showErrorMessage="1" sqref="B40" xr:uid="{1B683DC5-1698-4F90-BBB7-49B303DFD557}">
      <formula1>$I$40:$I$47</formula1>
    </dataValidation>
  </dataValidations>
  <pageMargins left="0.25" right="0.25" top="0.75" bottom="0.75" header="0.3" footer="0.3"/>
  <pageSetup paperSize="9" scale="87" fitToHeight="2" orientation="landscape" r:id="rId1"/>
  <headerFooter>
    <oddHeader>&amp;F</oddHead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F771-08DC-40D8-9B21-357107DB00C8}">
  <sheetPr>
    <pageSetUpPr fitToPage="1"/>
  </sheetPr>
  <dimension ref="B2:K45"/>
  <sheetViews>
    <sheetView topLeftCell="A24" workbookViewId="0">
      <selection activeCell="D47" sqref="D47"/>
    </sheetView>
  </sheetViews>
  <sheetFormatPr defaultRowHeight="15" x14ac:dyDescent="0.25"/>
  <cols>
    <col min="2" max="2" width="34.85546875" bestFit="1" customWidth="1"/>
    <col min="3" max="3" width="12.7109375" bestFit="1" customWidth="1"/>
    <col min="4" max="4" width="28.140625" bestFit="1" customWidth="1"/>
    <col min="5" max="5" width="18" customWidth="1"/>
    <col min="6" max="6" width="19.28515625" bestFit="1" customWidth="1"/>
    <col min="7" max="7" width="16.28515625" customWidth="1"/>
    <col min="8" max="8" width="12.7109375" customWidth="1"/>
  </cols>
  <sheetData>
    <row r="2" spans="2:8" ht="30" x14ac:dyDescent="0.25">
      <c r="B2" s="5" t="s">
        <v>55</v>
      </c>
      <c r="C2" s="70">
        <f>560000*F2/100</f>
        <v>806960</v>
      </c>
      <c r="D2" t="s">
        <v>56</v>
      </c>
      <c r="E2" s="26" t="s">
        <v>57</v>
      </c>
      <c r="F2" s="130">
        <v>144.1</v>
      </c>
    </row>
    <row r="3" spans="2:8" x14ac:dyDescent="0.25">
      <c r="C3" s="24"/>
      <c r="E3" s="10" t="s">
        <v>58</v>
      </c>
      <c r="F3" s="129" t="s">
        <v>59</v>
      </c>
      <c r="H3" s="36"/>
    </row>
    <row r="4" spans="2:8" ht="15.75" x14ac:dyDescent="0.25">
      <c r="B4" s="6" t="s">
        <v>7</v>
      </c>
      <c r="C4" s="131">
        <f>'% in CA'!D12</f>
        <v>3.7242783409694898E-2</v>
      </c>
      <c r="E4" s="26"/>
      <c r="H4" s="36"/>
    </row>
    <row r="6" spans="2:8" ht="15.75" x14ac:dyDescent="0.25">
      <c r="B6" s="6" t="s">
        <v>8</v>
      </c>
      <c r="C6" s="4">
        <v>25</v>
      </c>
      <c r="D6" t="s">
        <v>9</v>
      </c>
    </row>
    <row r="7" spans="2:8" ht="15.75" x14ac:dyDescent="0.25">
      <c r="B7" s="6"/>
      <c r="C7" s="7"/>
      <c r="D7" s="5"/>
    </row>
    <row r="8" spans="2:8" x14ac:dyDescent="0.25">
      <c r="B8" s="8" t="s">
        <v>10</v>
      </c>
      <c r="C8" s="72">
        <f>-PMT(C4,C6,C2)</f>
        <v>50160.705508094543</v>
      </c>
      <c r="D8" t="s">
        <v>60</v>
      </c>
    </row>
    <row r="10" spans="2:8" ht="29.25" x14ac:dyDescent="0.25">
      <c r="B10" s="22" t="s">
        <v>12</v>
      </c>
      <c r="C10" s="132">
        <f>'% in CA'!D20</f>
        <v>3.4724009130845196E-2</v>
      </c>
      <c r="D10" s="10"/>
    </row>
    <row r="12" spans="2:8" x14ac:dyDescent="0.25">
      <c r="B12" s="8" t="s">
        <v>61</v>
      </c>
      <c r="C12" s="133">
        <f>C8*C10</f>
        <v>1741.7807960727118</v>
      </c>
      <c r="D12" t="s">
        <v>60</v>
      </c>
    </row>
    <row r="13" spans="2:8" x14ac:dyDescent="0.25">
      <c r="B13" s="8" t="s">
        <v>52</v>
      </c>
      <c r="C13" s="133">
        <f>C12/12</f>
        <v>145.14839967272599</v>
      </c>
      <c r="D13" t="s">
        <v>62</v>
      </c>
    </row>
    <row r="14" spans="2:8" x14ac:dyDescent="0.25">
      <c r="B14" s="8" t="s">
        <v>52</v>
      </c>
      <c r="C14" s="134">
        <f>C13/1000</f>
        <v>0.145148399672726</v>
      </c>
      <c r="D14" t="s">
        <v>17</v>
      </c>
    </row>
    <row r="16" spans="2:8" ht="142.5" x14ac:dyDescent="0.25">
      <c r="B16" s="121" t="s">
        <v>18</v>
      </c>
      <c r="C16" s="92" t="s">
        <v>19</v>
      </c>
      <c r="D16" s="92" t="s">
        <v>20</v>
      </c>
      <c r="E16" s="92" t="s">
        <v>21</v>
      </c>
      <c r="F16" s="92" t="s">
        <v>22</v>
      </c>
      <c r="G16" s="92" t="s">
        <v>23</v>
      </c>
    </row>
    <row r="17" spans="2:7" x14ac:dyDescent="0.25">
      <c r="B17" s="94" t="s">
        <v>63</v>
      </c>
      <c r="C17" s="95">
        <v>6</v>
      </c>
      <c r="D17" s="135">
        <v>8</v>
      </c>
      <c r="E17" s="135">
        <f>D17+2</f>
        <v>10</v>
      </c>
      <c r="F17" s="135">
        <f>E17+5.5</f>
        <v>15.5</v>
      </c>
      <c r="G17" s="135">
        <v>20</v>
      </c>
    </row>
    <row r="19" spans="2:7" ht="28.5" x14ac:dyDescent="0.25">
      <c r="B19" s="97" t="s">
        <v>18</v>
      </c>
      <c r="C19" s="92" t="s">
        <v>25</v>
      </c>
      <c r="D19" s="92" t="s">
        <v>26</v>
      </c>
      <c r="E19" s="92" t="s">
        <v>27</v>
      </c>
    </row>
    <row r="20" spans="2:7" x14ac:dyDescent="0.25">
      <c r="B20" s="17" t="s">
        <v>28</v>
      </c>
      <c r="C20" s="99">
        <f>C14/C17</f>
        <v>2.4191399945454332E-2</v>
      </c>
      <c r="D20" s="124">
        <f>C14/D17</f>
        <v>1.814354995909075E-2</v>
      </c>
      <c r="E20" s="124">
        <f>C14/F17</f>
        <v>9.3644128821113552E-3</v>
      </c>
    </row>
    <row r="22" spans="2:7" x14ac:dyDescent="0.25">
      <c r="B22" s="91" t="s">
        <v>29</v>
      </c>
      <c r="C22" s="76">
        <v>0.3</v>
      </c>
      <c r="D22" t="s">
        <v>130</v>
      </c>
    </row>
    <row r="23" spans="2:7" x14ac:dyDescent="0.25">
      <c r="C23" s="15"/>
    </row>
    <row r="24" spans="2:7" ht="28.5" x14ac:dyDescent="0.25">
      <c r="B24" s="126" t="s">
        <v>18</v>
      </c>
      <c r="C24" s="127" t="s">
        <v>25</v>
      </c>
      <c r="D24" s="127" t="s">
        <v>26</v>
      </c>
      <c r="E24" s="127" t="s">
        <v>27</v>
      </c>
    </row>
    <row r="25" spans="2:7" x14ac:dyDescent="0.25">
      <c r="B25" s="17" t="s">
        <v>30</v>
      </c>
      <c r="C25" s="99">
        <f>C20*C22</f>
        <v>7.2574199836362993E-3</v>
      </c>
      <c r="D25" s="124">
        <f>D20*C22</f>
        <v>5.4430649877272247E-3</v>
      </c>
      <c r="E25" s="124">
        <f>E20*C22</f>
        <v>2.8093238646334064E-3</v>
      </c>
    </row>
    <row r="26" spans="2:7" x14ac:dyDescent="0.25">
      <c r="B26" s="17" t="s">
        <v>31</v>
      </c>
      <c r="C26" s="99">
        <f>C25*1000</f>
        <v>7.2574199836362991</v>
      </c>
      <c r="D26" s="99">
        <f>D25*1000</f>
        <v>5.443064987727225</v>
      </c>
      <c r="E26" s="99">
        <f>E25*1000</f>
        <v>2.8093238646334062</v>
      </c>
    </row>
    <row r="27" spans="2:7" x14ac:dyDescent="0.25">
      <c r="B27" s="17" t="s">
        <v>32</v>
      </c>
      <c r="C27" s="99">
        <f>C26*12</f>
        <v>87.089039803635586</v>
      </c>
      <c r="D27" s="99">
        <f>D26*12</f>
        <v>65.316779852726697</v>
      </c>
      <c r="E27" s="99">
        <f>E26*12</f>
        <v>33.711886375600876</v>
      </c>
    </row>
    <row r="29" spans="2:7" x14ac:dyDescent="0.25">
      <c r="B29" s="20" t="s">
        <v>33</v>
      </c>
      <c r="C29" s="137">
        <v>2759.7241600441366</v>
      </c>
      <c r="D29" t="s">
        <v>34</v>
      </c>
      <c r="E29" s="68" t="s">
        <v>35</v>
      </c>
      <c r="G29" s="11"/>
    </row>
    <row r="30" spans="2:7" x14ac:dyDescent="0.25">
      <c r="B30" s="20" t="s">
        <v>36</v>
      </c>
      <c r="C30" s="136">
        <f>C29*C10</f>
        <v>95.828686931986695</v>
      </c>
      <c r="D30" t="s">
        <v>34</v>
      </c>
      <c r="E30" s="42"/>
      <c r="G30" s="11"/>
    </row>
    <row r="31" spans="2:7" x14ac:dyDescent="0.25">
      <c r="C31" s="15"/>
    </row>
    <row r="32" spans="2:7" x14ac:dyDescent="0.25">
      <c r="B32" s="17" t="s">
        <v>37</v>
      </c>
      <c r="C32" s="99">
        <f>C30/1000/12</f>
        <v>7.985723910998891E-3</v>
      </c>
    </row>
    <row r="33" spans="2:11" x14ac:dyDescent="0.25">
      <c r="B33" s="17" t="s">
        <v>38</v>
      </c>
      <c r="C33" s="99">
        <f>C32*1000</f>
        <v>7.9857239109988907</v>
      </c>
    </row>
    <row r="34" spans="2:11" x14ac:dyDescent="0.25">
      <c r="B34" s="17" t="s">
        <v>39</v>
      </c>
      <c r="C34" s="99">
        <f>C33*12</f>
        <v>95.828686931986681</v>
      </c>
    </row>
    <row r="36" spans="2:11" ht="15.75" x14ac:dyDescent="0.25">
      <c r="B36" s="20" t="s">
        <v>64</v>
      </c>
      <c r="C36" s="21">
        <v>3</v>
      </c>
      <c r="G36" s="146" t="s">
        <v>54</v>
      </c>
      <c r="H36" s="32">
        <v>1</v>
      </c>
    </row>
    <row r="37" spans="2:11" x14ac:dyDescent="0.25">
      <c r="B37" s="20"/>
      <c r="C37" s="20"/>
      <c r="G37" s="145"/>
      <c r="H37" s="32">
        <v>2</v>
      </c>
    </row>
    <row r="38" spans="2:11" ht="28.5" x14ac:dyDescent="0.25">
      <c r="B38" s="16" t="s">
        <v>41</v>
      </c>
      <c r="C38" s="14" t="s">
        <v>25</v>
      </c>
      <c r="D38" s="14" t="s">
        <v>26</v>
      </c>
      <c r="E38" s="14" t="s">
        <v>27</v>
      </c>
      <c r="G38" s="145"/>
      <c r="H38" s="32">
        <v>2.5</v>
      </c>
    </row>
    <row r="39" spans="2:11" x14ac:dyDescent="0.25">
      <c r="B39" s="17" t="s">
        <v>42</v>
      </c>
      <c r="C39" s="119">
        <f>(C25+C32)/$C$36</f>
        <v>5.0810479648783968E-3</v>
      </c>
      <c r="D39" s="138">
        <f>(D25+C32)/$C$36</f>
        <v>4.4762629662420386E-3</v>
      </c>
      <c r="E39" s="138">
        <f>(E25+C32)/$C$36</f>
        <v>3.5983492585440987E-3</v>
      </c>
      <c r="F39" s="68" t="s">
        <v>35</v>
      </c>
      <c r="G39" s="145"/>
      <c r="H39" s="32">
        <v>3</v>
      </c>
    </row>
    <row r="40" spans="2:11" x14ac:dyDescent="0.25">
      <c r="B40" s="17" t="s">
        <v>43</v>
      </c>
      <c r="C40" s="120">
        <f>C39*1000</f>
        <v>5.0810479648783966</v>
      </c>
      <c r="D40" s="120">
        <f t="shared" ref="D40:E40" si="0">D39*1000</f>
        <v>4.4762629662420386</v>
      </c>
      <c r="E40" s="120">
        <f t="shared" si="0"/>
        <v>3.5983492585440988</v>
      </c>
      <c r="F40" s="68" t="s">
        <v>35</v>
      </c>
      <c r="G40" s="145"/>
      <c r="H40" s="32">
        <v>3.5</v>
      </c>
    </row>
    <row r="41" spans="2:11" x14ac:dyDescent="0.25">
      <c r="B41" s="17" t="s">
        <v>44</v>
      </c>
      <c r="C41" s="120">
        <f>C40*12</f>
        <v>60.972575578540756</v>
      </c>
      <c r="D41" s="120">
        <f t="shared" ref="D41:E41" si="1">D40*12</f>
        <v>53.715155594904459</v>
      </c>
      <c r="E41" s="120">
        <f t="shared" si="1"/>
        <v>43.180191102529186</v>
      </c>
      <c r="F41" s="68" t="s">
        <v>35</v>
      </c>
      <c r="G41" s="55"/>
      <c r="H41" s="55"/>
      <c r="I41" s="55"/>
      <c r="J41" s="55"/>
      <c r="K41" s="55"/>
    </row>
    <row r="43" spans="2:11" x14ac:dyDescent="0.25">
      <c r="C43" s="11"/>
      <c r="D43" s="11"/>
      <c r="E43" s="11"/>
    </row>
    <row r="45" spans="2:11" x14ac:dyDescent="0.25">
      <c r="C45" s="43"/>
    </row>
  </sheetData>
  <mergeCells count="1">
    <mergeCell ref="G36:G40"/>
  </mergeCells>
  <dataValidations count="1">
    <dataValidation type="list" allowBlank="1" showInputMessage="1" showErrorMessage="1" sqref="C36" xr:uid="{B3D58CB7-7F41-446D-B4B3-8F9A3947E673}">
      <formula1>$H$36:$H$40</formula1>
    </dataValidation>
  </dataValidations>
  <hyperlinks>
    <hyperlink ref="F3" r:id="rId1" location="/pages/tables/insse-table" xr:uid="{B732EE88-65CC-4BE4-BAF8-C1B8FF233BA1}"/>
  </hyperlinks>
  <pageMargins left="0.25" right="0.25" top="0.75" bottom="0.75" header="0.3" footer="0.3"/>
  <pageSetup paperSize="9" scale="89" fitToHeight="2" orientation="landscape" r:id="rId2"/>
  <headerFooter>
    <oddHeader>&amp;F</oddHeader>
    <oddFooter>&amp;C&amp;A&amp;R&amp;P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7B80-F66C-497D-AB7E-70C7519F2199}">
  <sheetPr>
    <pageSetUpPr fitToPage="1"/>
  </sheetPr>
  <dimension ref="A1:D18"/>
  <sheetViews>
    <sheetView workbookViewId="0">
      <selection activeCell="B2" sqref="B2"/>
    </sheetView>
  </sheetViews>
  <sheetFormatPr defaultColWidth="59.140625" defaultRowHeight="15" x14ac:dyDescent="0.25"/>
  <cols>
    <col min="1" max="1" width="52" customWidth="1"/>
    <col min="2" max="2" width="22.140625" customWidth="1"/>
    <col min="3" max="3" width="23.5703125" customWidth="1"/>
    <col min="4" max="4" width="28.28515625" customWidth="1"/>
  </cols>
  <sheetData>
    <row r="1" spans="1:4" ht="45" x14ac:dyDescent="0.25">
      <c r="A1" s="56" t="s">
        <v>65</v>
      </c>
      <c r="B1" s="57" t="s">
        <v>66</v>
      </c>
      <c r="C1" s="57" t="s">
        <v>67</v>
      </c>
      <c r="D1" s="57" t="s">
        <v>68</v>
      </c>
    </row>
    <row r="2" spans="1:4" x14ac:dyDescent="0.25">
      <c r="A2" s="58" t="s">
        <v>69</v>
      </c>
      <c r="B2" s="65">
        <v>16583.798999999999</v>
      </c>
      <c r="C2" s="65">
        <f>1950590077-B9-B14-B15</f>
        <v>1336452771</v>
      </c>
      <c r="D2" s="59">
        <f>C2/4.977</f>
        <v>268525772.75467145</v>
      </c>
    </row>
    <row r="3" spans="1:4" x14ac:dyDescent="0.25">
      <c r="A3" s="58" t="s">
        <v>70</v>
      </c>
      <c r="B3" s="60"/>
      <c r="C3" s="62">
        <f>C2/B2</f>
        <v>80587.853904886331</v>
      </c>
      <c r="D3" s="59">
        <f>D2/B2</f>
        <v>16192.054230437276</v>
      </c>
    </row>
    <row r="4" spans="1:4" x14ac:dyDescent="0.25">
      <c r="A4" s="58" t="s">
        <v>71</v>
      </c>
      <c r="B4" s="61"/>
      <c r="C4" s="62">
        <f>C3/1000</f>
        <v>80.58785390488633</v>
      </c>
      <c r="D4" s="62">
        <f>D3/1000</f>
        <v>16.192054230437275</v>
      </c>
    </row>
    <row r="6" spans="1:4" x14ac:dyDescent="0.25">
      <c r="A6" s="63" t="s">
        <v>72</v>
      </c>
    </row>
    <row r="7" spans="1:4" ht="57.75" x14ac:dyDescent="0.25">
      <c r="A7" s="64" t="s">
        <v>73</v>
      </c>
      <c r="B7" s="66">
        <v>268321938</v>
      </c>
      <c r="C7" s="1" t="s">
        <v>74</v>
      </c>
    </row>
    <row r="8" spans="1:4" ht="57.75" x14ac:dyDescent="0.25">
      <c r="A8" s="64" t="s">
        <v>75</v>
      </c>
      <c r="B8" s="66">
        <v>478344704</v>
      </c>
      <c r="C8" s="1" t="s">
        <v>74</v>
      </c>
    </row>
    <row r="9" spans="1:4" ht="45" x14ac:dyDescent="0.25">
      <c r="A9" s="64" t="s">
        <v>76</v>
      </c>
      <c r="B9" s="66">
        <f>3345481+43495622+461756912+11911714</f>
        <v>520509729</v>
      </c>
      <c r="C9" s="1" t="s">
        <v>74</v>
      </c>
      <c r="D9" s="26" t="s">
        <v>77</v>
      </c>
    </row>
    <row r="10" spans="1:4" x14ac:dyDescent="0.25">
      <c r="A10" s="64" t="s">
        <v>78</v>
      </c>
      <c r="B10" s="66">
        <v>2072226</v>
      </c>
      <c r="C10" s="1" t="s">
        <v>74</v>
      </c>
    </row>
    <row r="11" spans="1:4" x14ac:dyDescent="0.25">
      <c r="A11" s="1" t="s">
        <v>79</v>
      </c>
      <c r="B11" s="66">
        <v>49076208</v>
      </c>
      <c r="C11" s="1" t="s">
        <v>74</v>
      </c>
    </row>
    <row r="12" spans="1:4" ht="45" x14ac:dyDescent="0.25">
      <c r="A12" s="25" t="s">
        <v>80</v>
      </c>
      <c r="B12" s="66">
        <v>133263732</v>
      </c>
      <c r="C12" s="1" t="s">
        <v>74</v>
      </c>
    </row>
    <row r="13" spans="1:4" ht="29.25" x14ac:dyDescent="0.25">
      <c r="A13" s="64" t="s">
        <v>81</v>
      </c>
      <c r="B13" s="66">
        <v>55130248</v>
      </c>
      <c r="C13" s="1" t="s">
        <v>74</v>
      </c>
    </row>
    <row r="14" spans="1:4" ht="45" x14ac:dyDescent="0.25">
      <c r="A14" s="64" t="s">
        <v>82</v>
      </c>
      <c r="B14" s="66">
        <v>84980744</v>
      </c>
      <c r="C14" s="1" t="s">
        <v>74</v>
      </c>
      <c r="D14" s="26" t="s">
        <v>77</v>
      </c>
    </row>
    <row r="15" spans="1:4" ht="45" x14ac:dyDescent="0.25">
      <c r="A15" s="64" t="s">
        <v>83</v>
      </c>
      <c r="B15" s="66">
        <v>8646833</v>
      </c>
      <c r="C15" s="1" t="s">
        <v>74</v>
      </c>
      <c r="D15" s="26" t="s">
        <v>77</v>
      </c>
    </row>
    <row r="16" spans="1:4" x14ac:dyDescent="0.25">
      <c r="A16" s="64" t="s">
        <v>84</v>
      </c>
      <c r="B16" s="66">
        <f>1950590077-SUM(B7:B15)</f>
        <v>350243715</v>
      </c>
      <c r="C16" s="1" t="s">
        <v>74</v>
      </c>
    </row>
    <row r="18" spans="2:2" x14ac:dyDescent="0.25">
      <c r="B18" s="11"/>
    </row>
  </sheetData>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3503-6876-47AC-8F7E-90E91EA22DA1}">
  <dimension ref="A1:L24"/>
  <sheetViews>
    <sheetView workbookViewId="0">
      <selection activeCell="D5" sqref="D5"/>
    </sheetView>
  </sheetViews>
  <sheetFormatPr defaultRowHeight="15" x14ac:dyDescent="0.25"/>
  <cols>
    <col min="1" max="1" width="17.28515625" bestFit="1" customWidth="1"/>
    <col min="2" max="2" width="47" customWidth="1"/>
    <col min="3" max="3" width="16.7109375" bestFit="1" customWidth="1"/>
    <col min="4" max="4" width="6.140625" bestFit="1" customWidth="1"/>
  </cols>
  <sheetData>
    <row r="1" spans="1:12" x14ac:dyDescent="0.25">
      <c r="B1" s="52" t="s">
        <v>85</v>
      </c>
    </row>
    <row r="2" spans="1:12" x14ac:dyDescent="0.25">
      <c r="B2" s="27"/>
      <c r="C2" s="27" t="s">
        <v>86</v>
      </c>
      <c r="D2" s="27"/>
      <c r="I2" t="s">
        <v>87</v>
      </c>
      <c r="L2">
        <v>4.9465000000000003</v>
      </c>
    </row>
    <row r="3" spans="1:12" x14ac:dyDescent="0.25">
      <c r="A3" t="s">
        <v>133</v>
      </c>
      <c r="B3" t="s">
        <v>88</v>
      </c>
      <c r="C3" s="139">
        <f>1616420.11*4.9315</f>
        <v>7971375.7724649999</v>
      </c>
    </row>
    <row r="4" spans="1:12" ht="15.75" thickBot="1" x14ac:dyDescent="0.3">
      <c r="A4" t="s">
        <v>132</v>
      </c>
      <c r="B4" t="s">
        <v>89</v>
      </c>
      <c r="C4" s="140">
        <f>9816786.72*4.9315</f>
        <v>48411483.709679998</v>
      </c>
    </row>
    <row r="5" spans="1:12" x14ac:dyDescent="0.25">
      <c r="B5" s="71" t="s">
        <v>6</v>
      </c>
      <c r="C5" s="51">
        <f>SUM(C3:C4)</f>
        <v>56382859.482144997</v>
      </c>
      <c r="D5" s="54">
        <f>C5/C6</f>
        <v>3.1433943836838764E-2</v>
      </c>
    </row>
    <row r="6" spans="1:12" x14ac:dyDescent="0.25">
      <c r="B6" s="71" t="s">
        <v>90</v>
      </c>
      <c r="C6" s="51">
        <f>1793693.46*10^3</f>
        <v>1793693460</v>
      </c>
      <c r="D6" s="40"/>
      <c r="E6" s="30" t="s">
        <v>91</v>
      </c>
    </row>
    <row r="8" spans="1:12" x14ac:dyDescent="0.25">
      <c r="B8" s="27"/>
      <c r="C8" s="27"/>
      <c r="D8" s="27"/>
    </row>
    <row r="9" spans="1:12" x14ac:dyDescent="0.25">
      <c r="B9" s="27" t="s">
        <v>134</v>
      </c>
      <c r="C9" s="35">
        <v>72884000</v>
      </c>
      <c r="D9" s="29"/>
    </row>
    <row r="10" spans="1:12" x14ac:dyDescent="0.25">
      <c r="A10" t="s">
        <v>92</v>
      </c>
      <c r="B10" s="27" t="s">
        <v>93</v>
      </c>
      <c r="C10" s="35">
        <v>1937637000</v>
      </c>
      <c r="D10" s="27"/>
    </row>
    <row r="11" spans="1:12" x14ac:dyDescent="0.25">
      <c r="A11" t="s">
        <v>94</v>
      </c>
      <c r="B11" s="27" t="s">
        <v>95</v>
      </c>
      <c r="C11" s="35">
        <v>43431565</v>
      </c>
      <c r="D11" s="31"/>
    </row>
    <row r="12" spans="1:12" x14ac:dyDescent="0.25">
      <c r="A12" t="s">
        <v>96</v>
      </c>
      <c r="B12" s="27" t="s">
        <v>97</v>
      </c>
      <c r="C12" s="35">
        <v>82831214</v>
      </c>
      <c r="D12" s="33">
        <f>C12/C13</f>
        <v>3.7242783409694898E-2</v>
      </c>
      <c r="E12" s="34" t="s">
        <v>98</v>
      </c>
      <c r="F12" s="34"/>
      <c r="G12" s="34"/>
      <c r="H12" s="34"/>
    </row>
    <row r="13" spans="1:12" x14ac:dyDescent="0.25">
      <c r="A13" t="s">
        <v>96</v>
      </c>
      <c r="B13" s="27" t="s">
        <v>99</v>
      </c>
      <c r="C13" s="35">
        <v>2224087633</v>
      </c>
      <c r="D13" s="31"/>
    </row>
    <row r="14" spans="1:12" x14ac:dyDescent="0.25">
      <c r="B14" s="30" t="s">
        <v>100</v>
      </c>
    </row>
    <row r="15" spans="1:12" x14ac:dyDescent="0.25">
      <c r="B15" s="36" t="s">
        <v>101</v>
      </c>
    </row>
    <row r="18" spans="1:4" x14ac:dyDescent="0.25">
      <c r="A18" s="10"/>
      <c r="B18" s="53" t="s">
        <v>102</v>
      </c>
      <c r="C18" s="50" t="s">
        <v>103</v>
      </c>
    </row>
    <row r="19" spans="1:4" x14ac:dyDescent="0.25">
      <c r="A19" s="10" t="s">
        <v>104</v>
      </c>
      <c r="B19" t="s">
        <v>105</v>
      </c>
      <c r="C19" s="139">
        <v>1237733.5900000001</v>
      </c>
    </row>
    <row r="20" spans="1:4" x14ac:dyDescent="0.25">
      <c r="A20" s="10" t="s">
        <v>106</v>
      </c>
      <c r="B20" t="s">
        <v>90</v>
      </c>
      <c r="C20" s="139">
        <v>35644893</v>
      </c>
      <c r="D20" s="54">
        <f>C19/C20</f>
        <v>3.4724009130845196E-2</v>
      </c>
    </row>
    <row r="21" spans="1:4" x14ac:dyDescent="0.25">
      <c r="C21" s="50"/>
    </row>
    <row r="22" spans="1:4" x14ac:dyDescent="0.25">
      <c r="C22" s="50"/>
    </row>
    <row r="23" spans="1:4" x14ac:dyDescent="0.25">
      <c r="C23" s="50"/>
    </row>
    <row r="24" spans="1:4" x14ac:dyDescent="0.25">
      <c r="C24" s="50"/>
    </row>
  </sheetData>
  <hyperlinks>
    <hyperlink ref="B15" r:id="rId1" xr:uid="{DC17251F-2D26-4FFB-A862-C7537489EA02}"/>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444E-0BDE-4095-9351-1D05C2B5405C}">
  <dimension ref="A1:J21"/>
  <sheetViews>
    <sheetView workbookViewId="0">
      <selection activeCell="A6" sqref="A6"/>
    </sheetView>
  </sheetViews>
  <sheetFormatPr defaultRowHeight="15" x14ac:dyDescent="0.25"/>
  <cols>
    <col min="1" max="1" width="97" customWidth="1"/>
    <col min="2" max="2" width="9.28515625" bestFit="1" customWidth="1"/>
    <col min="3" max="3" width="15.7109375" bestFit="1" customWidth="1"/>
    <col min="4" max="4" width="15.28515625" bestFit="1" customWidth="1"/>
    <col min="5" max="5" width="16.140625" bestFit="1" customWidth="1"/>
  </cols>
  <sheetData>
    <row r="1" spans="1:10" ht="70.5" customHeight="1" x14ac:dyDescent="0.25">
      <c r="A1" s="147" t="s">
        <v>107</v>
      </c>
      <c r="B1" s="147"/>
      <c r="C1" s="147"/>
      <c r="D1" s="147"/>
      <c r="E1" s="147"/>
      <c r="F1" s="147"/>
      <c r="G1" s="147"/>
      <c r="H1" s="147"/>
      <c r="I1" s="147"/>
      <c r="J1" s="147"/>
    </row>
    <row r="2" spans="1:10" x14ac:dyDescent="0.25">
      <c r="A2" s="46" t="s">
        <v>108</v>
      </c>
    </row>
    <row r="4" spans="1:10" x14ac:dyDescent="0.25">
      <c r="A4" s="47" t="s">
        <v>109</v>
      </c>
      <c r="B4" s="47" t="s">
        <v>110</v>
      </c>
      <c r="C4" s="47" t="s">
        <v>111</v>
      </c>
      <c r="D4" s="47" t="s">
        <v>112</v>
      </c>
      <c r="E4" s="47" t="s">
        <v>113</v>
      </c>
    </row>
    <row r="5" spans="1:10" x14ac:dyDescent="0.25">
      <c r="A5" s="47" t="s">
        <v>114</v>
      </c>
      <c r="B5" s="47">
        <v>50</v>
      </c>
      <c r="C5" s="47">
        <v>22</v>
      </c>
      <c r="D5" s="47">
        <v>20</v>
      </c>
      <c r="E5" s="47">
        <v>18</v>
      </c>
    </row>
    <row r="6" spans="1:10" x14ac:dyDescent="0.25">
      <c r="A6" s="28" t="s">
        <v>115</v>
      </c>
    </row>
    <row r="7" spans="1:10" x14ac:dyDescent="0.25">
      <c r="A7" t="s">
        <v>116</v>
      </c>
    </row>
    <row r="8" spans="1:10" ht="94.5" customHeight="1" x14ac:dyDescent="0.25">
      <c r="A8" s="48" t="s">
        <v>117</v>
      </c>
    </row>
    <row r="10" spans="1:10" ht="46.5" x14ac:dyDescent="0.25">
      <c r="A10" s="49" t="s">
        <v>118</v>
      </c>
    </row>
    <row r="12" spans="1:10" x14ac:dyDescent="0.25">
      <c r="A12" s="36" t="s">
        <v>119</v>
      </c>
    </row>
    <row r="14" spans="1:10" x14ac:dyDescent="0.25">
      <c r="A14" s="36" t="s">
        <v>120</v>
      </c>
    </row>
    <row r="15" spans="1:10" x14ac:dyDescent="0.25">
      <c r="A15" s="27" t="s">
        <v>121</v>
      </c>
    </row>
    <row r="16" spans="1:10" x14ac:dyDescent="0.25">
      <c r="A16" s="27" t="s">
        <v>122</v>
      </c>
    </row>
    <row r="18" spans="1:1" x14ac:dyDescent="0.25">
      <c r="A18" s="27" t="s">
        <v>123</v>
      </c>
    </row>
    <row r="19" spans="1:1" x14ac:dyDescent="0.25">
      <c r="A19" s="27" t="s">
        <v>124</v>
      </c>
    </row>
    <row r="20" spans="1:1" x14ac:dyDescent="0.25">
      <c r="A20" s="27" t="s">
        <v>125</v>
      </c>
    </row>
    <row r="21" spans="1:1" x14ac:dyDescent="0.25">
      <c r="A21" s="27" t="s">
        <v>126</v>
      </c>
    </row>
  </sheetData>
  <mergeCells count="1">
    <mergeCell ref="A1:J1"/>
  </mergeCells>
  <hyperlinks>
    <hyperlink ref="A12" r:id="rId1" xr:uid="{41A49174-9429-4240-B4EA-B6A81A2DA46C}"/>
    <hyperlink ref="A14" r:id="rId2" display="4.5. Limitele zonelor drumurilor, conform Ordonanței Guvernului nr. 43/1997 privind regimul drumurilor, republicată, cu modificările și completările ulterioare, sunt următoarele:a) zonele de siguranță ale drumurilor sunt cuprinse de la limita exterioară a amprizei drumului până la:(i) 1,50 m - de la marginea exterioară a dispozitivelor de preluare a apelor meteorice, pentru drumurile situate la nivelul terenului;(ii) 2,00 m - de la piciorul taluzului, pentru drumurile în rambleu;(iii) 3,00 m - de la marginea de sus a taluzului, pentru drumurile în debleu cu înălțimea taluzului de până la 5,00 m inclusiv;(iv) 5,00 m - de la marginea de sus a taluzului, pentru drumurile în debleu cu înălțimea taluzului mai mare de 5,00 m;" xr:uid="{F1C6328B-11D4-48BE-92CA-56E14AA25E3A}"/>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X 3 3 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l X 3 3 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9 9 1 g o i k e 4 D g A A A B E A A A A T A B w A R m 9 y b X V s Y X M v U 2 V j d G l v b j E u b S C i G A A o o B Q A A A A A A A A A A A A A A A A A A A A A A A A A A A A r T k 0 u y c z P U w i G 0 I b W A F B L A Q I t A B Q A A g A I A J V 9 9 1 j x a t + y p A A A A P Y A A A A S A A A A A A A A A A A A A A A A A A A A A A B D b 2 5 m a W c v U G F j a 2 F n Z S 5 4 b W x Q S w E C L Q A U A A I A C A C V f f d Y D 8 r p q 6 Q A A A D p A A A A E w A A A A A A A A A A A A A A A A D w A A A A W 0 N v b n R l b n R f V H l w Z X N d L n h t b F B L A Q I t A B Q A A g A I A J V 9 9 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2 y 1 6 M M j l R b 3 f h F m x / a F m A A A A A A I A A A A A A A N m A A D A A A A A E A A A A L 5 i N p q F L u A N V C s W 2 q x B 5 z Q A A A A A B I A A A K A A A A A Q A A A A x D 4 w e h D 2 J D Z K 5 J L b d s M l Q 1 A A A A C w e E X 2 V L g I v f a J 3 s Q 8 v 0 8 Z N I k R 7 Y B A o p c b P d j Y h R n O h + q Y Y H R 0 R 7 s r V f I V s y H z a b 4 Z h m M n 0 F 3 L a p g R K O D j W / 3 g t w 4 G l e q P z D F L w v g d K 3 7 w j B Q A A A B f 6 C F W P O T f S 5 n v R i R P + P l 2 X 4 R 8 U A = = < / D a t a M a s h u p > 
</file>

<file path=customXml/itemProps1.xml><?xml version="1.0" encoding="utf-8"?>
<ds:datastoreItem xmlns:ds="http://schemas.openxmlformats.org/officeDocument/2006/customXml" ds:itemID="{A0270020-F77B-4F91-BA4A-56F321BB07C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Autostrazi-in exec-2024</vt:lpstr>
      <vt:lpstr>Drumuri expres-in exec-2024 </vt:lpstr>
      <vt:lpstr>drumuri judetene</vt:lpstr>
      <vt:lpstr>OPEX CNAIR</vt:lpstr>
      <vt:lpstr>% in CA</vt:lpstr>
      <vt:lpstr>Latimi drumuri</vt:lpstr>
      <vt:lpstr>'Autostrazi-in exec-2024'!Print_Area</vt:lpstr>
      <vt:lpstr>'Drumuri expres-in exec-2024 '!Print_Area</vt:lpstr>
      <vt:lpstr>'drumuri judetene'!Print_Area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2024-10-08T09:53:57Z</dcterms:created>
  <dcterms:modified xsi:type="dcterms:W3CDTF">2024-10-08T12:54:29Z</dcterms:modified>
  <cp:category/>
  <cp:contentStatus/>
</cp:coreProperties>
</file>